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 SIMULACION INVERNADA S1" sheetId="1" r:id="rId1"/>
  </sheets>
  <definedNames>
    <definedName name="_xlnm.Print_Area" localSheetId="0">' SIMULACION INVERNADA S1'!$A$1:$M$90</definedName>
  </definedNames>
  <calcPr fullCalcOnLoad="1"/>
</workbook>
</file>

<file path=xl/sharedStrings.xml><?xml version="1.0" encoding="utf-8"?>
<sst xmlns="http://schemas.openxmlformats.org/spreadsheetml/2006/main" count="79" uniqueCount="72">
  <si>
    <t>Identificación del caso:</t>
  </si>
  <si>
    <t>Planteo forrajero</t>
  </si>
  <si>
    <t>Superficies Reales   has</t>
  </si>
  <si>
    <t xml:space="preserve">Costo implant                          $/ha </t>
  </si>
  <si>
    <t>Ocupación de lotes meses/año</t>
  </si>
  <si>
    <t>Suf efec. Ganadera en  has</t>
  </si>
  <si>
    <t>% de Superficie Ganadera</t>
  </si>
  <si>
    <t xml:space="preserve">Praderas </t>
  </si>
  <si>
    <t>Total</t>
  </si>
  <si>
    <t>Vida útil de las praderas  en años</t>
  </si>
  <si>
    <t>Gasto de mantenimiento $/ha</t>
  </si>
  <si>
    <t>Compra/venta</t>
  </si>
  <si>
    <t>Peso         Kg/unidad</t>
  </si>
  <si>
    <t>Precio bruto         $/kg</t>
  </si>
  <si>
    <t>Gasto comerc.  %IB</t>
  </si>
  <si>
    <t>% Desbaste</t>
  </si>
  <si>
    <t>Carga animal promedio cab/ha</t>
  </si>
  <si>
    <t>Duración invernada (meses)</t>
  </si>
  <si>
    <t>Mortandad %</t>
  </si>
  <si>
    <t>Muertes anuales en cabezas</t>
  </si>
  <si>
    <t>Producción kg/ha</t>
  </si>
  <si>
    <t>Engorde diario kg/dia</t>
  </si>
  <si>
    <t>Nº de animales comprados anualmente</t>
  </si>
  <si>
    <t>Nº de animales vendidos anualmente</t>
  </si>
  <si>
    <t>Otros alimentos sobre animales vendidos</t>
  </si>
  <si>
    <t>Tipo</t>
  </si>
  <si>
    <t>Cantidad                Unid/cab vend</t>
  </si>
  <si>
    <t>Valor                         $/unid</t>
  </si>
  <si>
    <t>Cantidad             unidades</t>
  </si>
  <si>
    <t>Valor          $/año/Unid</t>
  </si>
  <si>
    <t>Personal</t>
  </si>
  <si>
    <t>Sanidad $/cab.compradas/año</t>
  </si>
  <si>
    <t xml:space="preserve">Otros costos directos </t>
  </si>
  <si>
    <t>$/año</t>
  </si>
  <si>
    <t>$/cab vendida</t>
  </si>
  <si>
    <t>RESULTADOS</t>
  </si>
  <si>
    <t>$/ha</t>
  </si>
  <si>
    <t>$/cab comp</t>
  </si>
  <si>
    <t>%</t>
  </si>
  <si>
    <t>Compras con gastos comercial</t>
  </si>
  <si>
    <t>Alimentación</t>
  </si>
  <si>
    <t>Sanidad</t>
  </si>
  <si>
    <t>Otros costos</t>
  </si>
  <si>
    <t>MB/CD $/$</t>
  </si>
  <si>
    <t>Rendim. equilibrio kg/ha</t>
  </si>
  <si>
    <t>Costos indirectos $/año</t>
  </si>
  <si>
    <t>Costo unitario total $/kg</t>
  </si>
  <si>
    <t>Rango relaciones</t>
  </si>
  <si>
    <t>Novillo</t>
  </si>
  <si>
    <t>Margen bruto promedio ponderado</t>
  </si>
  <si>
    <t>ANALISIS DE RIESGO</t>
  </si>
  <si>
    <t>Máxima</t>
  </si>
  <si>
    <t>Mínima</t>
  </si>
  <si>
    <t>Relación compra/venta</t>
  </si>
  <si>
    <t>Margen Bruto</t>
  </si>
  <si>
    <t>Ternero</t>
  </si>
  <si>
    <t>SISTEMA DE SIMULACION  PARA CALCULO DE MARGEN BRUTO INVERNADA</t>
  </si>
  <si>
    <t xml:space="preserve">Ingreso Bruto </t>
  </si>
  <si>
    <t xml:space="preserve">Ingreso Neto </t>
  </si>
  <si>
    <t xml:space="preserve">Costo Directo </t>
  </si>
  <si>
    <t>Este sistema ha sido desarrollado por Ing. Suárez R.;  Ing. Giovannini, F.;  Ing. Lomello V. para cursos de capacitación. del Departamento de Economía Agraria. FAV.UNRC. Para mayor información comunicarse con rsuarez@ayv.unrc.edu.ar. o TE 0358- 4676514 / 520</t>
  </si>
  <si>
    <t>Frecuen Nº veces</t>
  </si>
  <si>
    <t>Compra</t>
  </si>
  <si>
    <t>Venta</t>
  </si>
  <si>
    <t>Costos directos $/año</t>
  </si>
  <si>
    <t>Gasto de comercialización ventas $</t>
  </si>
  <si>
    <t xml:space="preserve">Margen Bruto </t>
  </si>
  <si>
    <t xml:space="preserve">Margen Neto </t>
  </si>
  <si>
    <t>Precios $/Kg</t>
  </si>
  <si>
    <t>Frecuenc %</t>
  </si>
  <si>
    <t>verdeos</t>
  </si>
  <si>
    <t>suplementos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</si>
</sst>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.00_);_(* \(#,##0.00\);_(* &quot;-&quot;??_);_(@_)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00"/>
    <numFmt numFmtId="173" formatCode="0.0%"/>
    <numFmt numFmtId="174" formatCode="#,##0.00_ ;[Red]\-#,##0.00\ "/>
    <numFmt numFmtId="175" formatCode="#,##0.0"/>
    <numFmt numFmtId="176" formatCode="_ * #,##0_ ;_ * \-#,##0_ ;_ * &quot;-&quot;??_ ;_ @_ "/>
    <numFmt numFmtId="177" formatCode="_ * #,##0.000_ ;_ * \-#,##0.000_ ;_ * &quot;-&quot;??_ ;_ @_ "/>
    <numFmt numFmtId="178" formatCode="#,##0_ ;\-#,##0\ "/>
    <numFmt numFmtId="179" formatCode="#,##0.00_ ;\-#,##0.00\ "/>
    <numFmt numFmtId="180" formatCode="_ * #,##0.00_ ;_ * \-#,##0.00_ ;_ * &quot;-&quot;_ ;_ @_ "/>
    <numFmt numFmtId="181" formatCode="#,##0.000"/>
    <numFmt numFmtId="182" formatCode="#,##0_ ;[Red]\-#,##0\ "/>
  </numFmts>
  <fonts count="11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 vertical="top" wrapText="1"/>
      <protection hidden="1"/>
    </xf>
    <xf numFmtId="9" fontId="3" fillId="2" borderId="0" xfId="20" applyFont="1" applyFill="1" applyBorder="1" applyAlignment="1" applyProtection="1">
      <alignment/>
      <protection hidden="1"/>
    </xf>
    <xf numFmtId="9" fontId="3" fillId="2" borderId="0" xfId="20" applyFont="1" applyFill="1" applyBorder="1" applyAlignment="1" applyProtection="1">
      <alignment horizontal="center"/>
      <protection hidden="1"/>
    </xf>
    <xf numFmtId="169" fontId="2" fillId="2" borderId="0" xfId="0" applyNumberFormat="1" applyFont="1" applyFill="1" applyBorder="1" applyAlignment="1" applyProtection="1">
      <alignment/>
      <protection hidden="1"/>
    </xf>
    <xf numFmtId="168" fontId="3" fillId="2" borderId="0" xfId="17" applyFont="1" applyFill="1" applyBorder="1" applyAlignment="1" applyProtection="1">
      <alignment horizontal="center"/>
      <protection hidden="1"/>
    </xf>
    <xf numFmtId="9" fontId="3" fillId="2" borderId="0" xfId="0" applyNumberFormat="1" applyFont="1" applyFill="1" applyBorder="1" applyAlignment="1" applyProtection="1">
      <alignment/>
      <protection hidden="1"/>
    </xf>
    <xf numFmtId="171" fontId="3" fillId="2" borderId="0" xfId="17" applyNumberFormat="1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71" fontId="2" fillId="2" borderId="0" xfId="17" applyNumberFormat="1" applyFont="1" applyFill="1" applyBorder="1" applyAlignment="1" applyProtection="1">
      <alignment/>
      <protection hidden="1"/>
    </xf>
    <xf numFmtId="9" fontId="2" fillId="2" borderId="0" xfId="20" applyFont="1" applyFill="1" applyBorder="1" applyAlignment="1" applyProtection="1">
      <alignment horizontal="center"/>
      <protection hidden="1"/>
    </xf>
    <xf numFmtId="169" fontId="2" fillId="2" borderId="0" xfId="0" applyNumberFormat="1" applyFont="1" applyFill="1" applyBorder="1" applyAlignment="1" applyProtection="1">
      <alignment horizontal="center"/>
      <protection hidden="1"/>
    </xf>
    <xf numFmtId="172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1" fontId="3" fillId="2" borderId="2" xfId="17" applyNumberFormat="1" applyFont="1" applyFill="1" applyBorder="1" applyAlignment="1" applyProtection="1">
      <alignment/>
      <protection hidden="1"/>
    </xf>
    <xf numFmtId="173" fontId="3" fillId="2" borderId="2" xfId="20" applyNumberFormat="1" applyFont="1" applyFill="1" applyBorder="1" applyAlignment="1" applyProtection="1">
      <alignment/>
      <protection hidden="1"/>
    </xf>
    <xf numFmtId="9" fontId="4" fillId="2" borderId="0" xfId="2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9" fontId="3" fillId="2" borderId="2" xfId="20" applyFont="1" applyFill="1" applyBorder="1" applyAlignment="1" applyProtection="1">
      <alignment/>
      <protection hidden="1"/>
    </xf>
    <xf numFmtId="171" fontId="3" fillId="2" borderId="0" xfId="17" applyNumberFormat="1" applyFont="1" applyFill="1" applyBorder="1" applyAlignment="1" applyProtection="1">
      <alignment horizontal="right"/>
      <protection hidden="1"/>
    </xf>
    <xf numFmtId="176" fontId="3" fillId="2" borderId="2" xfId="0" applyNumberFormat="1" applyFont="1" applyFill="1" applyBorder="1" applyAlignment="1" applyProtection="1">
      <alignment horizontal="right"/>
      <protection hidden="1"/>
    </xf>
    <xf numFmtId="176" fontId="3" fillId="2" borderId="2" xfId="17" applyNumberFormat="1" applyFont="1" applyFill="1" applyBorder="1" applyAlignment="1" applyProtection="1">
      <alignment horizontal="right"/>
      <protection hidden="1"/>
    </xf>
    <xf numFmtId="171" fontId="3" fillId="2" borderId="2" xfId="0" applyNumberFormat="1" applyFont="1" applyFill="1" applyBorder="1" applyAlignment="1" applyProtection="1">
      <alignment horizontal="right"/>
      <protection hidden="1"/>
    </xf>
    <xf numFmtId="169" fontId="3" fillId="2" borderId="0" xfId="0" applyNumberFormat="1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/>
      <protection hidden="1"/>
    </xf>
    <xf numFmtId="171" fontId="2" fillId="2" borderId="0" xfId="17" applyNumberFormat="1" applyFont="1" applyFill="1" applyBorder="1" applyAlignment="1" applyProtection="1">
      <alignment horizontal="right"/>
      <protection hidden="1"/>
    </xf>
    <xf numFmtId="172" fontId="2" fillId="2" borderId="0" xfId="0" applyNumberFormat="1" applyFont="1" applyFill="1" applyBorder="1" applyAlignment="1" applyProtection="1">
      <alignment/>
      <protection hidden="1"/>
    </xf>
    <xf numFmtId="171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2" fontId="3" fillId="2" borderId="2" xfId="17" applyNumberFormat="1" applyFont="1" applyFill="1" applyBorder="1" applyAlignment="1" applyProtection="1">
      <alignment horizontal="center"/>
      <protection hidden="1"/>
    </xf>
    <xf numFmtId="178" fontId="3" fillId="2" borderId="2" xfId="0" applyNumberFormat="1" applyFont="1" applyFill="1" applyBorder="1" applyAlignment="1" applyProtection="1">
      <alignment horizontal="center"/>
      <protection hidden="1"/>
    </xf>
    <xf numFmtId="179" fontId="3" fillId="2" borderId="2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65" fontId="3" fillId="2" borderId="0" xfId="16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178" fontId="3" fillId="2" borderId="2" xfId="16" applyNumberFormat="1" applyFont="1" applyFill="1" applyBorder="1" applyAlignment="1" applyProtection="1">
      <alignment/>
      <protection hidden="1"/>
    </xf>
    <xf numFmtId="179" fontId="3" fillId="2" borderId="0" xfId="0" applyNumberFormat="1" applyFont="1" applyFill="1" applyBorder="1" applyAlignment="1" applyProtection="1">
      <alignment horizontal="center"/>
      <protection hidden="1"/>
    </xf>
    <xf numFmtId="165" fontId="8" fillId="2" borderId="0" xfId="16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173" fontId="3" fillId="2" borderId="0" xfId="20" applyNumberFormat="1" applyFont="1" applyFill="1" applyBorder="1" applyAlignment="1" applyProtection="1">
      <alignment horizontal="center"/>
      <protection hidden="1"/>
    </xf>
    <xf numFmtId="2" fontId="3" fillId="2" borderId="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locked="0"/>
    </xf>
    <xf numFmtId="9" fontId="3" fillId="2" borderId="2" xfId="2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textRotation="90"/>
      <protection hidden="1"/>
    </xf>
    <xf numFmtId="168" fontId="3" fillId="2" borderId="0" xfId="17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 vertical="center" textRotation="90"/>
      <protection hidden="1"/>
    </xf>
    <xf numFmtId="170" fontId="4" fillId="2" borderId="0" xfId="17" applyNumberFormat="1" applyFont="1" applyFill="1" applyBorder="1" applyAlignment="1" applyProtection="1">
      <alignment/>
      <protection hidden="1"/>
    </xf>
    <xf numFmtId="174" fontId="3" fillId="2" borderId="0" xfId="0" applyNumberFormat="1" applyFont="1" applyFill="1" applyBorder="1" applyAlignment="1" applyProtection="1">
      <alignment/>
      <protection hidden="1"/>
    </xf>
    <xf numFmtId="169" fontId="3" fillId="2" borderId="0" xfId="0" applyNumberFormat="1" applyFont="1" applyFill="1" applyBorder="1" applyAlignment="1" applyProtection="1">
      <alignment/>
      <protection hidden="1"/>
    </xf>
    <xf numFmtId="2" fontId="8" fillId="2" borderId="0" xfId="0" applyNumberFormat="1" applyFont="1" applyFill="1" applyBorder="1" applyAlignment="1" applyProtection="1">
      <alignment/>
      <protection hidden="1"/>
    </xf>
    <xf numFmtId="3" fontId="3" fillId="2" borderId="0" xfId="0" applyNumberFormat="1" applyFont="1" applyFill="1" applyBorder="1" applyAlignment="1" applyProtection="1">
      <alignment/>
      <protection hidden="1"/>
    </xf>
    <xf numFmtId="180" fontId="3" fillId="2" borderId="0" xfId="0" applyNumberFormat="1" applyFont="1" applyFill="1" applyBorder="1" applyAlignment="1" applyProtection="1">
      <alignment/>
      <protection hidden="1"/>
    </xf>
    <xf numFmtId="170" fontId="3" fillId="2" borderId="0" xfId="17" applyNumberFormat="1" applyFont="1" applyFill="1" applyBorder="1" applyAlignment="1" applyProtection="1">
      <alignment/>
      <protection hidden="1"/>
    </xf>
    <xf numFmtId="169" fontId="3" fillId="2" borderId="0" xfId="0" applyNumberFormat="1" applyFont="1" applyFill="1" applyBorder="1" applyAlignment="1" applyProtection="1">
      <alignment horizontal="center"/>
      <protection hidden="1"/>
    </xf>
    <xf numFmtId="172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4" fontId="4" fillId="2" borderId="0" xfId="0" applyNumberFormat="1" applyFont="1" applyFill="1" applyBorder="1" applyAlignment="1" applyProtection="1">
      <alignment/>
      <protection hidden="1"/>
    </xf>
    <xf numFmtId="4" fontId="3" fillId="2" borderId="0" xfId="0" applyNumberFormat="1" applyFont="1" applyFill="1" applyBorder="1" applyAlignment="1" applyProtection="1">
      <alignment/>
      <protection hidden="1"/>
    </xf>
    <xf numFmtId="179" fontId="3" fillId="2" borderId="0" xfId="0" applyNumberFormat="1" applyFont="1" applyFill="1" applyBorder="1" applyAlignment="1" applyProtection="1">
      <alignment/>
      <protection hidden="1"/>
    </xf>
    <xf numFmtId="2" fontId="3" fillId="0" borderId="2" xfId="17" applyNumberFormat="1" applyFont="1" applyBorder="1" applyAlignment="1" applyProtection="1">
      <alignment horizontal="center"/>
      <protection hidden="1"/>
    </xf>
    <xf numFmtId="171" fontId="3" fillId="2" borderId="2" xfId="0" applyNumberFormat="1" applyFont="1" applyFill="1" applyBorder="1" applyAlignment="1" applyProtection="1">
      <alignment/>
      <protection hidden="1"/>
    </xf>
    <xf numFmtId="179" fontId="3" fillId="0" borderId="2" xfId="0" applyNumberFormat="1" applyFont="1" applyBorder="1" applyAlignment="1" applyProtection="1">
      <alignment/>
      <protection hidden="1"/>
    </xf>
    <xf numFmtId="182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wrapText="1"/>
      <protection hidden="1"/>
    </xf>
    <xf numFmtId="2" fontId="3" fillId="2" borderId="4" xfId="0" applyNumberFormat="1" applyFont="1" applyFill="1" applyBorder="1" applyAlignment="1" applyProtection="1">
      <alignment horizontal="right"/>
      <protection hidden="1"/>
    </xf>
    <xf numFmtId="2" fontId="3" fillId="2" borderId="5" xfId="0" applyNumberFormat="1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/>
      <protection hidden="1"/>
    </xf>
    <xf numFmtId="1" fontId="8" fillId="2" borderId="0" xfId="0" applyNumberFormat="1" applyFont="1" applyFill="1" applyBorder="1" applyAlignment="1" applyProtection="1">
      <alignment/>
      <protection hidden="1"/>
    </xf>
    <xf numFmtId="9" fontId="3" fillId="2" borderId="2" xfId="0" applyNumberFormat="1" applyFont="1" applyFill="1" applyBorder="1" applyAlignment="1" applyProtection="1">
      <alignment horizontal="center"/>
      <protection hidden="1"/>
    </xf>
    <xf numFmtId="175" fontId="3" fillId="3" borderId="2" xfId="0" applyNumberFormat="1" applyFont="1" applyFill="1" applyBorder="1" applyAlignment="1" applyProtection="1">
      <alignment horizontal="center"/>
      <protection locked="0"/>
    </xf>
    <xf numFmtId="175" fontId="3" fillId="3" borderId="4" xfId="0" applyNumberFormat="1" applyFont="1" applyFill="1" applyBorder="1" applyAlignment="1" applyProtection="1">
      <alignment horizontal="center"/>
      <protection locked="0"/>
    </xf>
    <xf numFmtId="175" fontId="3" fillId="3" borderId="5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hidden="1"/>
    </xf>
    <xf numFmtId="165" fontId="3" fillId="0" borderId="5" xfId="16" applyFont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1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9" fontId="3" fillId="2" borderId="2" xfId="2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/>
      <protection hidden="1"/>
    </xf>
    <xf numFmtId="3" fontId="3" fillId="2" borderId="2" xfId="0" applyNumberFormat="1" applyFont="1" applyFill="1" applyBorder="1" applyAlignment="1" applyProtection="1">
      <alignment horizontal="center"/>
      <protection hidden="1"/>
    </xf>
    <xf numFmtId="165" fontId="3" fillId="2" borderId="4" xfId="16" applyFont="1" applyFill="1" applyBorder="1" applyAlignment="1" applyProtection="1">
      <alignment/>
      <protection hidden="1"/>
    </xf>
    <xf numFmtId="165" fontId="3" fillId="2" borderId="5" xfId="16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3" fontId="3" fillId="2" borderId="4" xfId="17" applyNumberFormat="1" applyFont="1" applyFill="1" applyBorder="1" applyAlignment="1" applyProtection="1">
      <alignment horizontal="center"/>
      <protection hidden="1"/>
    </xf>
    <xf numFmtId="3" fontId="10" fillId="0" borderId="5" xfId="0" applyNumberFormat="1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0" fontId="3" fillId="3" borderId="2" xfId="20" applyNumberFormat="1" applyFont="1" applyFill="1" applyBorder="1" applyAlignment="1" applyProtection="1">
      <alignment horizontal="center"/>
      <protection locked="0"/>
    </xf>
    <xf numFmtId="10" fontId="3" fillId="3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9" fontId="3" fillId="3" borderId="2" xfId="20" applyNumberFormat="1" applyFont="1" applyFill="1" applyBorder="1" applyAlignment="1" applyProtection="1">
      <alignment horizontal="center"/>
      <protection locked="0"/>
    </xf>
    <xf numFmtId="9" fontId="3" fillId="3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177" fontId="3" fillId="2" borderId="2" xfId="0" applyNumberFormat="1" applyFont="1" applyFill="1" applyBorder="1" applyAlignment="1" applyProtection="1">
      <alignment/>
      <protection hidden="1"/>
    </xf>
    <xf numFmtId="177" fontId="3" fillId="0" borderId="2" xfId="0" applyNumberFormat="1" applyFont="1" applyBorder="1" applyAlignment="1" applyProtection="1">
      <alignment/>
      <protection hidden="1"/>
    </xf>
    <xf numFmtId="2" fontId="3" fillId="3" borderId="2" xfId="0" applyNumberFormat="1" applyFont="1" applyFill="1" applyBorder="1" applyAlignment="1" applyProtection="1">
      <alignment/>
      <protection locked="0"/>
    </xf>
    <xf numFmtId="10" fontId="3" fillId="3" borderId="2" xfId="20" applyNumberFormat="1" applyFont="1" applyFill="1" applyBorder="1" applyAlignment="1" applyProtection="1">
      <alignment/>
      <protection locked="0"/>
    </xf>
    <xf numFmtId="10" fontId="3" fillId="3" borderId="2" xfId="0" applyNumberFormat="1" applyFont="1" applyFill="1" applyBorder="1" applyAlignment="1" applyProtection="1">
      <alignment/>
      <protection locked="0"/>
    </xf>
    <xf numFmtId="3" fontId="3" fillId="3" borderId="2" xfId="0" applyNumberFormat="1" applyFont="1" applyFill="1" applyBorder="1" applyAlignment="1" applyProtection="1">
      <alignment/>
      <protection locked="0"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176" fontId="3" fillId="2" borderId="2" xfId="0" applyNumberFormat="1" applyFont="1" applyFill="1" applyBorder="1" applyAlignment="1" applyProtection="1">
      <alignment/>
      <protection hidden="1"/>
    </xf>
    <xf numFmtId="176" fontId="3" fillId="0" borderId="2" xfId="0" applyNumberFormat="1" applyFont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176" fontId="3" fillId="2" borderId="4" xfId="0" applyNumberFormat="1" applyFont="1" applyFill="1" applyBorder="1" applyAlignment="1" applyProtection="1">
      <alignment/>
      <protection hidden="1"/>
    </xf>
    <xf numFmtId="176" fontId="3" fillId="2" borderId="5" xfId="0" applyNumberFormat="1" applyFont="1" applyFill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>
      <alignment/>
    </xf>
    <xf numFmtId="4" fontId="3" fillId="2" borderId="4" xfId="17" applyNumberFormat="1" applyFont="1" applyFill="1" applyBorder="1" applyAlignment="1" applyProtection="1">
      <alignment horizontal="center"/>
      <protection hidden="1"/>
    </xf>
    <xf numFmtId="4" fontId="3" fillId="2" borderId="5" xfId="17" applyNumberFormat="1" applyFont="1" applyFill="1" applyBorder="1" applyAlignment="1" applyProtection="1">
      <alignment horizontal="center"/>
      <protection hidden="1"/>
    </xf>
    <xf numFmtId="3" fontId="3" fillId="2" borderId="4" xfId="0" applyNumberFormat="1" applyFont="1" applyFill="1" applyBorder="1" applyAlignment="1" applyProtection="1">
      <alignment horizontal="center"/>
      <protection hidden="1"/>
    </xf>
    <xf numFmtId="3" fontId="3" fillId="2" borderId="5" xfId="0" applyNumberFormat="1" applyFont="1" applyFill="1" applyBorder="1" applyAlignment="1" applyProtection="1">
      <alignment horizontal="center"/>
      <protection hidden="1"/>
    </xf>
    <xf numFmtId="3" fontId="3" fillId="3" borderId="4" xfId="17" applyNumberFormat="1" applyFont="1" applyFill="1" applyBorder="1" applyAlignment="1" applyProtection="1">
      <alignment horizontal="center"/>
      <protection locked="0"/>
    </xf>
    <xf numFmtId="3" fontId="3" fillId="3" borderId="5" xfId="17" applyNumberFormat="1" applyFont="1" applyFill="1" applyBorder="1" applyAlignment="1" applyProtection="1">
      <alignment horizontal="center"/>
      <protection locked="0"/>
    </xf>
    <xf numFmtId="3" fontId="3" fillId="2" borderId="5" xfId="17" applyNumberFormat="1" applyFont="1" applyFill="1" applyBorder="1" applyAlignment="1" applyProtection="1">
      <alignment horizontal="center"/>
      <protection hidden="1"/>
    </xf>
    <xf numFmtId="181" fontId="3" fillId="2" borderId="4" xfId="0" applyNumberFormat="1" applyFont="1" applyFill="1" applyBorder="1" applyAlignment="1" applyProtection="1">
      <alignment horizontal="center"/>
      <protection hidden="1"/>
    </xf>
    <xf numFmtId="181" fontId="3" fillId="2" borderId="5" xfId="0" applyNumberFormat="1" applyFont="1" applyFill="1" applyBorder="1" applyAlignment="1" applyProtection="1">
      <alignment horizontal="center"/>
      <protection hidden="1"/>
    </xf>
    <xf numFmtId="0" fontId="3" fillId="2" borderId="4" xfId="0" applyNumberFormat="1" applyFont="1" applyFill="1" applyBorder="1" applyAlignment="1" applyProtection="1">
      <alignment/>
      <protection hidden="1"/>
    </xf>
    <xf numFmtId="0" fontId="10" fillId="0" borderId="1" xfId="0" applyNumberFormat="1" applyFont="1" applyBorder="1" applyAlignment="1" applyProtection="1">
      <alignment/>
      <protection hidden="1"/>
    </xf>
    <xf numFmtId="0" fontId="10" fillId="0" borderId="5" xfId="0" applyNumberFormat="1" applyFont="1" applyBorder="1" applyAlignment="1" applyProtection="1">
      <alignment/>
      <protection hidden="1"/>
    </xf>
    <xf numFmtId="0" fontId="3" fillId="2" borderId="4" xfId="0" applyNumberFormat="1" applyFont="1" applyFill="1" applyBorder="1" applyAlignment="1" applyProtection="1">
      <alignment horizontal="left"/>
      <protection hidden="1"/>
    </xf>
    <xf numFmtId="0" fontId="3" fillId="2" borderId="1" xfId="0" applyNumberFormat="1" applyFont="1" applyFill="1" applyBorder="1" applyAlignment="1" applyProtection="1">
      <alignment horizontal="left"/>
      <protection hidden="1"/>
    </xf>
    <xf numFmtId="0" fontId="3" fillId="2" borderId="5" xfId="0" applyNumberFormat="1" applyFont="1" applyFill="1" applyBorder="1" applyAlignment="1" applyProtection="1">
      <alignment horizontal="left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182" fontId="3" fillId="2" borderId="2" xfId="0" applyNumberFormat="1" applyFont="1" applyFill="1" applyBorder="1" applyAlignment="1" applyProtection="1">
      <alignment horizontal="center"/>
      <protection hidden="1"/>
    </xf>
    <xf numFmtId="182" fontId="10" fillId="0" borderId="2" xfId="0" applyNumberFormat="1" applyFont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4" fillId="3" borderId="1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left" vertical="center" wrapText="1"/>
      <protection hidden="1"/>
    </xf>
    <xf numFmtId="0" fontId="6" fillId="2" borderId="14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6" fillId="2" borderId="8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/>
      <protection hidden="1"/>
    </xf>
    <xf numFmtId="0" fontId="6" fillId="2" borderId="11" xfId="0" applyFont="1" applyFill="1" applyBorder="1" applyAlignment="1" applyProtection="1">
      <alignment horizontal="left" vertical="center" wrapText="1"/>
      <protection hidden="1"/>
    </xf>
    <xf numFmtId="0" fontId="6" fillId="2" borderId="13" xfId="0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 wrapText="1"/>
      <protection hidden="1"/>
    </xf>
    <xf numFmtId="0" fontId="3" fillId="2" borderId="16" xfId="0" applyFont="1" applyFill="1" applyBorder="1" applyAlignment="1" applyProtection="1">
      <alignment wrapText="1"/>
      <protection hidden="1"/>
    </xf>
  </cellXfs>
  <cellStyles count="7">
    <cellStyle name="Normal" xfId="0"/>
    <cellStyle name="Comma" xfId="15"/>
    <cellStyle name="Comma [0]" xfId="16"/>
    <cellStyle name="Millares_sistema simulación invernada caso 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257175</xdr:colOff>
      <xdr:row>0</xdr:row>
      <xdr:rowOff>142875</xdr:rowOff>
    </xdr:from>
    <xdr:to>
      <xdr:col>28</xdr:col>
      <xdr:colOff>352425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142875"/>
          <a:ext cx="676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9"/>
  <sheetViews>
    <sheetView tabSelected="1" zoomScale="120" zoomScaleNormal="120" workbookViewId="0" topLeftCell="A1">
      <selection activeCell="H83" sqref="H83"/>
    </sheetView>
  </sheetViews>
  <sheetFormatPr defaultColWidth="11.421875" defaultRowHeight="12.75"/>
  <cols>
    <col min="1" max="2" width="7.7109375" style="1" customWidth="1"/>
    <col min="3" max="3" width="8.140625" style="1" customWidth="1"/>
    <col min="4" max="20" width="7.7109375" style="1" customWidth="1"/>
    <col min="21" max="21" width="9.8515625" style="1" customWidth="1"/>
    <col min="22" max="22" width="8.7109375" style="1" customWidth="1"/>
    <col min="23" max="23" width="10.00390625" style="1" customWidth="1"/>
    <col min="24" max="24" width="12.421875" style="1" customWidth="1"/>
    <col min="25" max="26" width="8.7109375" style="1" customWidth="1"/>
    <col min="27" max="27" width="10.7109375" style="1" customWidth="1"/>
    <col min="28" max="28" width="8.7109375" style="2" customWidth="1"/>
    <col min="29" max="29" width="8.7109375" style="1" customWidth="1"/>
    <col min="30" max="30" width="10.7109375" style="1" customWidth="1"/>
    <col min="31" max="32" width="7.7109375" style="1" customWidth="1"/>
    <col min="33" max="33" width="10.7109375" style="1" customWidth="1"/>
    <col min="34" max="35" width="7.7109375" style="1" customWidth="1"/>
    <col min="36" max="36" width="10.7109375" style="1" customWidth="1"/>
    <col min="37" max="38" width="7.7109375" style="1" customWidth="1"/>
    <col min="39" max="39" width="10.7109375" style="1" customWidth="1"/>
    <col min="40" max="41" width="7.7109375" style="1" customWidth="1"/>
    <col min="42" max="42" width="10.7109375" style="1" customWidth="1"/>
    <col min="43" max="44" width="6.7109375" style="1" customWidth="1"/>
    <col min="45" max="16384" width="11.421875" style="1" customWidth="1"/>
  </cols>
  <sheetData>
    <row r="1" spans="1:44" ht="18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42"/>
      <c r="O1" s="42"/>
      <c r="P1" s="42"/>
      <c r="Q1" s="42"/>
      <c r="R1" s="42"/>
      <c r="S1" s="42"/>
      <c r="T1" s="42"/>
      <c r="AK1" s="3"/>
      <c r="AL1" s="3"/>
      <c r="AM1" s="3"/>
      <c r="AN1" s="3"/>
      <c r="AO1" s="3"/>
      <c r="AP1" s="3"/>
      <c r="AQ1" s="4"/>
      <c r="AR1" s="3"/>
    </row>
    <row r="2" spans="1:43" s="7" customFormat="1" ht="16.5" customHeight="1">
      <c r="A2" s="86" t="s">
        <v>0</v>
      </c>
      <c r="B2" s="86"/>
      <c r="C2" s="86"/>
      <c r="D2" s="175"/>
      <c r="E2" s="175"/>
      <c r="F2" s="175"/>
      <c r="G2" s="175"/>
      <c r="H2" s="175"/>
      <c r="I2" s="175"/>
      <c r="J2" s="175"/>
      <c r="K2" s="175"/>
      <c r="L2" s="175"/>
      <c r="M2" s="175"/>
      <c r="AQ2" s="5"/>
    </row>
    <row r="3" spans="21:43" s="3" customFormat="1" ht="12">
      <c r="U3" s="7"/>
      <c r="AB3" s="4"/>
      <c r="AQ3" s="4"/>
    </row>
    <row r="4" spans="1:28" s="3" customFormat="1" ht="12">
      <c r="A4" s="7" t="s">
        <v>1</v>
      </c>
      <c r="P4" s="48"/>
      <c r="Q4" s="48"/>
      <c r="R4" s="48"/>
      <c r="S4" s="48"/>
      <c r="AB4" s="4"/>
    </row>
    <row r="5" spans="3:43" s="3" customFormat="1" ht="13.5" customHeight="1">
      <c r="C5" s="113" t="s">
        <v>2</v>
      </c>
      <c r="D5" s="114"/>
      <c r="E5" s="131" t="s">
        <v>3</v>
      </c>
      <c r="F5" s="131"/>
      <c r="G5" s="105" t="s">
        <v>4</v>
      </c>
      <c r="H5" s="83"/>
      <c r="I5" s="131" t="s">
        <v>5</v>
      </c>
      <c r="J5" s="132"/>
      <c r="K5" s="105" t="s">
        <v>6</v>
      </c>
      <c r="L5" s="130"/>
      <c r="O5" s="8"/>
      <c r="P5" s="8"/>
      <c r="Q5" s="8"/>
      <c r="R5" s="8"/>
      <c r="S5" s="8"/>
      <c r="T5" s="8"/>
      <c r="AB5" s="4"/>
      <c r="AD5" s="104"/>
      <c r="AQ5" s="4"/>
    </row>
    <row r="6" spans="3:57" s="3" customFormat="1" ht="12">
      <c r="C6" s="115"/>
      <c r="D6" s="116"/>
      <c r="E6" s="131"/>
      <c r="F6" s="131"/>
      <c r="G6" s="105"/>
      <c r="H6" s="83"/>
      <c r="I6" s="131"/>
      <c r="J6" s="132"/>
      <c r="K6" s="130"/>
      <c r="L6" s="130"/>
      <c r="O6" s="38"/>
      <c r="P6" s="53"/>
      <c r="Q6" s="8"/>
      <c r="R6" s="8"/>
      <c r="S6" s="8"/>
      <c r="T6" s="8"/>
      <c r="AB6" s="4"/>
      <c r="AD6" s="104"/>
      <c r="AQ6" s="4"/>
      <c r="AX6" s="54"/>
      <c r="BA6" s="55"/>
      <c r="BB6" s="55"/>
      <c r="BD6" s="55"/>
      <c r="BE6" s="55">
        <f>BD6*F20*(1-H20)</f>
        <v>0</v>
      </c>
    </row>
    <row r="7" spans="1:57" s="3" customFormat="1" ht="12">
      <c r="A7" s="112" t="s">
        <v>70</v>
      </c>
      <c r="B7" s="112"/>
      <c r="C7" s="95">
        <v>100</v>
      </c>
      <c r="D7" s="95"/>
      <c r="E7" s="95">
        <v>150</v>
      </c>
      <c r="F7" s="95"/>
      <c r="G7" s="95">
        <v>8</v>
      </c>
      <c r="H7" s="95"/>
      <c r="I7" s="101">
        <f>IF(C7*G7=0,0,C7*G7/12)</f>
        <v>66.66666666666667</v>
      </c>
      <c r="J7" s="101"/>
      <c r="K7" s="99">
        <f>IF(I7=0,"",IF($I$11="","",I7/$I$11))</f>
        <v>0.14285714285714285</v>
      </c>
      <c r="L7" s="99"/>
      <c r="O7" s="38"/>
      <c r="P7" s="53"/>
      <c r="Q7" s="9"/>
      <c r="R7" s="9"/>
      <c r="S7" s="9"/>
      <c r="T7" s="9"/>
      <c r="AB7" s="4"/>
      <c r="AC7" s="9"/>
      <c r="AQ7" s="4"/>
      <c r="AX7" s="56"/>
      <c r="AY7" s="13"/>
      <c r="AZ7" s="57"/>
      <c r="BA7" s="58"/>
      <c r="BB7" s="58"/>
      <c r="BC7" s="58"/>
      <c r="BD7" s="58"/>
      <c r="BE7" s="58"/>
    </row>
    <row r="8" spans="1:57" s="3" customFormat="1" ht="12">
      <c r="A8" s="112"/>
      <c r="B8" s="112"/>
      <c r="C8" s="95"/>
      <c r="D8" s="95"/>
      <c r="E8" s="95"/>
      <c r="F8" s="95"/>
      <c r="G8" s="95"/>
      <c r="H8" s="95"/>
      <c r="I8" s="101">
        <f>IF(C8*G8=0,0,C8*G8/12)</f>
        <v>0</v>
      </c>
      <c r="J8" s="101"/>
      <c r="K8" s="99">
        <f>IF(I8=0,"",IF($I$11="","",I8/$I$11))</f>
      </c>
      <c r="L8" s="99"/>
      <c r="O8" s="10"/>
      <c r="P8" s="4"/>
      <c r="Q8" s="9"/>
      <c r="R8" s="9"/>
      <c r="S8" s="9"/>
      <c r="T8" s="9"/>
      <c r="AB8" s="4"/>
      <c r="AQ8" s="4"/>
      <c r="AX8" s="56"/>
      <c r="AY8" s="13"/>
      <c r="AZ8" s="57"/>
      <c r="BA8" s="58"/>
      <c r="BB8" s="58"/>
      <c r="BC8" s="58"/>
      <c r="BD8" s="58"/>
      <c r="BE8" s="58"/>
    </row>
    <row r="9" spans="1:57" s="3" customFormat="1" ht="12">
      <c r="A9" s="112"/>
      <c r="B9" s="112"/>
      <c r="C9" s="95"/>
      <c r="D9" s="95"/>
      <c r="E9" s="95"/>
      <c r="F9" s="95"/>
      <c r="G9" s="95"/>
      <c r="H9" s="95"/>
      <c r="I9" s="101">
        <f>IF(C9*G9=0,0,C9*G9/12)</f>
        <v>0</v>
      </c>
      <c r="J9" s="101"/>
      <c r="K9" s="99">
        <f>IF(I9=0,"",IF($I$11="","",I9/$I$11))</f>
      </c>
      <c r="L9" s="99"/>
      <c r="O9" s="10"/>
      <c r="P9" s="4"/>
      <c r="Q9" s="9"/>
      <c r="R9" s="9"/>
      <c r="S9" s="9"/>
      <c r="T9" s="9"/>
      <c r="AB9" s="4"/>
      <c r="AQ9" s="4"/>
      <c r="AT9" s="59"/>
      <c r="AX9" s="56"/>
      <c r="AY9" s="13"/>
      <c r="AZ9" s="57"/>
      <c r="BA9" s="58"/>
      <c r="BB9" s="58"/>
      <c r="BC9" s="58"/>
      <c r="BD9" s="58"/>
      <c r="BE9" s="58"/>
    </row>
    <row r="10" spans="1:57" s="3" customFormat="1" ht="12">
      <c r="A10" s="87" t="s">
        <v>7</v>
      </c>
      <c r="B10" s="87"/>
      <c r="C10" s="95">
        <v>400</v>
      </c>
      <c r="D10" s="95"/>
      <c r="E10" s="95">
        <v>300</v>
      </c>
      <c r="F10" s="95"/>
      <c r="G10" s="95">
        <v>12</v>
      </c>
      <c r="H10" s="95"/>
      <c r="I10" s="101">
        <f>IF(C10*G10=0,0,C10*G10/12)</f>
        <v>400</v>
      </c>
      <c r="J10" s="101"/>
      <c r="K10" s="99">
        <f>IF(I10=0,"",IF($I$11="","",I10/$I$11))</f>
        <v>0.8571428571428571</v>
      </c>
      <c r="L10" s="99"/>
      <c r="O10" s="12"/>
      <c r="P10" s="4"/>
      <c r="Q10" s="9"/>
      <c r="R10" s="9"/>
      <c r="S10" s="9"/>
      <c r="T10" s="9"/>
      <c r="AB10" s="4"/>
      <c r="AQ10" s="4"/>
      <c r="AX10" s="56"/>
      <c r="AY10" s="13"/>
      <c r="AZ10" s="57"/>
      <c r="BA10" s="58"/>
      <c r="BB10" s="58"/>
      <c r="BC10" s="58"/>
      <c r="BD10" s="58"/>
      <c r="BE10" s="58"/>
    </row>
    <row r="11" spans="1:57" s="3" customFormat="1" ht="12">
      <c r="A11" s="87" t="s">
        <v>8</v>
      </c>
      <c r="B11" s="88"/>
      <c r="C11" s="93">
        <f>IF(SUM(C7:D10)=0,"",SUM(C7:D10))</f>
        <v>500</v>
      </c>
      <c r="D11" s="93"/>
      <c r="E11" s="93"/>
      <c r="F11" s="93"/>
      <c r="G11" s="93"/>
      <c r="H11" s="93"/>
      <c r="I11" s="101">
        <f>SUM(I7:J10)</f>
        <v>466.6666666666667</v>
      </c>
      <c r="J11" s="101"/>
      <c r="K11" s="99">
        <f>IF(I11=0,"",IF($I$11="","",I11/$I$11))</f>
        <v>1</v>
      </c>
      <c r="L11" s="99"/>
      <c r="O11" s="43"/>
      <c r="P11" s="4"/>
      <c r="Q11" s="9"/>
      <c r="R11" s="9"/>
      <c r="S11" s="9"/>
      <c r="T11" s="9"/>
      <c r="AB11" s="4"/>
      <c r="AD11" s="13"/>
      <c r="AE11" s="14"/>
      <c r="AQ11" s="4"/>
      <c r="AX11" s="56"/>
      <c r="AY11" s="13"/>
      <c r="AZ11" s="57"/>
      <c r="BA11" s="58"/>
      <c r="BB11" s="58"/>
      <c r="BC11" s="58"/>
      <c r="BD11" s="58"/>
      <c r="BE11" s="58"/>
    </row>
    <row r="12" spans="15:57" s="3" customFormat="1" ht="12">
      <c r="O12" s="10"/>
      <c r="P12" s="4"/>
      <c r="Y12" s="4"/>
      <c r="Z12" s="9"/>
      <c r="AB12" s="4"/>
      <c r="AD12" s="13"/>
      <c r="AE12" s="14"/>
      <c r="AQ12" s="4"/>
      <c r="AX12" s="56"/>
      <c r="AY12" s="13"/>
      <c r="AZ12" s="57"/>
      <c r="BA12" s="58"/>
      <c r="BB12" s="58"/>
      <c r="BC12" s="58"/>
      <c r="BD12" s="58"/>
      <c r="BE12" s="58"/>
    </row>
    <row r="13" spans="1:57" s="3" customFormat="1" ht="12">
      <c r="A13" s="94" t="s">
        <v>9</v>
      </c>
      <c r="B13" s="88"/>
      <c r="C13" s="88"/>
      <c r="D13" s="88"/>
      <c r="E13" s="95">
        <v>4</v>
      </c>
      <c r="F13" s="95"/>
      <c r="Y13" s="104"/>
      <c r="AA13" s="104"/>
      <c r="AB13" s="4"/>
      <c r="AQ13" s="4"/>
      <c r="AX13" s="56"/>
      <c r="AY13" s="13"/>
      <c r="AZ13" s="57"/>
      <c r="BA13" s="58"/>
      <c r="BB13" s="58"/>
      <c r="BC13" s="58"/>
      <c r="BD13" s="58"/>
      <c r="BE13" s="58"/>
    </row>
    <row r="14" spans="1:43" s="3" customFormat="1" ht="12">
      <c r="A14" s="94" t="s">
        <v>10</v>
      </c>
      <c r="B14" s="88"/>
      <c r="C14" s="88"/>
      <c r="D14" s="88"/>
      <c r="E14" s="95">
        <v>70</v>
      </c>
      <c r="F14" s="95"/>
      <c r="Y14" s="104"/>
      <c r="AA14" s="104"/>
      <c r="AB14" s="4"/>
      <c r="AQ14" s="4"/>
    </row>
    <row r="15" spans="1:43" s="3" customFormat="1" ht="12">
      <c r="A15" s="15"/>
      <c r="E15" s="4"/>
      <c r="F15" s="4"/>
      <c r="O15" s="44"/>
      <c r="P15" s="44"/>
      <c r="Q15" s="44"/>
      <c r="Y15" s="8"/>
      <c r="AA15" s="8"/>
      <c r="AB15" s="4"/>
      <c r="AQ15" s="4"/>
    </row>
    <row r="16" spans="1:43" s="3" customFormat="1" ht="12">
      <c r="A16" s="120" t="s">
        <v>11</v>
      </c>
      <c r="B16" s="121"/>
      <c r="C16" s="121"/>
      <c r="U16" s="7"/>
      <c r="AB16" s="4"/>
      <c r="AQ16" s="4"/>
    </row>
    <row r="17" spans="4:43" s="7" customFormat="1" ht="15" customHeight="1">
      <c r="D17" s="105" t="s">
        <v>12</v>
      </c>
      <c r="E17" s="117"/>
      <c r="F17" s="105" t="s">
        <v>13</v>
      </c>
      <c r="G17" s="117"/>
      <c r="H17" s="105" t="s">
        <v>14</v>
      </c>
      <c r="I17" s="117"/>
      <c r="J17" s="113" t="s">
        <v>15</v>
      </c>
      <c r="K17" s="123"/>
      <c r="L17" s="53"/>
      <c r="M17" s="53"/>
      <c r="N17" s="122"/>
      <c r="O17" s="121"/>
      <c r="P17" s="121"/>
      <c r="AQ17" s="5"/>
    </row>
    <row r="18" spans="4:43" s="3" customFormat="1" ht="12">
      <c r="D18" s="105"/>
      <c r="E18" s="117"/>
      <c r="F18" s="105"/>
      <c r="G18" s="117"/>
      <c r="H18" s="105"/>
      <c r="I18" s="117"/>
      <c r="J18" s="124"/>
      <c r="K18" s="125"/>
      <c r="L18" s="53"/>
      <c r="M18" s="53"/>
      <c r="AB18" s="4"/>
      <c r="AQ18" s="4"/>
    </row>
    <row r="19" spans="1:43" s="3" customFormat="1" ht="12">
      <c r="A19" s="96" t="s">
        <v>62</v>
      </c>
      <c r="B19" s="97"/>
      <c r="C19" s="98"/>
      <c r="D19" s="95">
        <v>160</v>
      </c>
      <c r="E19" s="95"/>
      <c r="F19" s="95">
        <v>2.6</v>
      </c>
      <c r="G19" s="95"/>
      <c r="H19" s="118"/>
      <c r="I19" s="119"/>
      <c r="J19" s="115"/>
      <c r="K19" s="126"/>
      <c r="L19" s="4"/>
      <c r="M19" s="4"/>
      <c r="AB19" s="4"/>
      <c r="AQ19" s="4"/>
    </row>
    <row r="20" spans="1:44" s="3" customFormat="1" ht="12">
      <c r="A20" s="96" t="s">
        <v>63</v>
      </c>
      <c r="B20" s="97"/>
      <c r="C20" s="98"/>
      <c r="D20" s="95">
        <v>410</v>
      </c>
      <c r="E20" s="95"/>
      <c r="F20" s="95">
        <v>2.3</v>
      </c>
      <c r="G20" s="95"/>
      <c r="H20" s="118"/>
      <c r="I20" s="119"/>
      <c r="J20" s="127">
        <v>0.05</v>
      </c>
      <c r="K20" s="128"/>
      <c r="L20" s="4"/>
      <c r="M20" s="4"/>
      <c r="AB20" s="4"/>
      <c r="AO20" s="7"/>
      <c r="AP20" s="7"/>
      <c r="AQ20" s="5"/>
      <c r="AR20" s="7"/>
    </row>
    <row r="21" spans="1:44" s="3" customFormat="1" ht="12">
      <c r="A21" s="96" t="s">
        <v>53</v>
      </c>
      <c r="B21" s="97"/>
      <c r="C21" s="98"/>
      <c r="D21" s="129">
        <f>F19/F20</f>
        <v>1.1304347826086958</v>
      </c>
      <c r="E21" s="129"/>
      <c r="F21" s="129"/>
      <c r="G21" s="129"/>
      <c r="H21" s="129"/>
      <c r="I21" s="129"/>
      <c r="J21" s="129"/>
      <c r="K21" s="129"/>
      <c r="L21" s="16"/>
      <c r="M21" s="16"/>
      <c r="AB21" s="4"/>
      <c r="AO21" s="7"/>
      <c r="AP21" s="7"/>
      <c r="AQ21" s="5"/>
      <c r="AR21" s="7"/>
    </row>
    <row r="22" spans="1:43" s="3" customFormat="1" ht="12">
      <c r="A22" s="100"/>
      <c r="B22" s="87"/>
      <c r="C22" s="87"/>
      <c r="D22" s="87"/>
      <c r="E22" s="96"/>
      <c r="AB22" s="4"/>
      <c r="AQ22" s="4"/>
    </row>
    <row r="23" spans="1:43" s="3" customFormat="1" ht="12">
      <c r="A23" s="87" t="s">
        <v>16</v>
      </c>
      <c r="B23" s="88"/>
      <c r="C23" s="88"/>
      <c r="D23" s="88"/>
      <c r="E23" s="88"/>
      <c r="F23" s="136">
        <v>2.5</v>
      </c>
      <c r="G23" s="112"/>
      <c r="H23" s="60">
        <f>IF(F24="","",F23*12/F24)</f>
        <v>2.3076923076923075</v>
      </c>
      <c r="AB23" s="4"/>
      <c r="AQ23" s="4"/>
    </row>
    <row r="24" spans="1:43" s="3" customFormat="1" ht="12">
      <c r="A24" s="87" t="s">
        <v>17</v>
      </c>
      <c r="B24" s="88"/>
      <c r="C24" s="88"/>
      <c r="D24" s="88"/>
      <c r="E24" s="88"/>
      <c r="F24" s="136">
        <v>13</v>
      </c>
      <c r="G24" s="112"/>
      <c r="AB24" s="4"/>
      <c r="AQ24" s="4"/>
    </row>
    <row r="25" spans="1:43" s="3" customFormat="1" ht="12">
      <c r="A25" s="87" t="s">
        <v>18</v>
      </c>
      <c r="B25" s="88"/>
      <c r="C25" s="88"/>
      <c r="D25" s="88"/>
      <c r="E25" s="88"/>
      <c r="F25" s="137">
        <v>0.03</v>
      </c>
      <c r="G25" s="138"/>
      <c r="AB25" s="4"/>
      <c r="AQ25" s="4"/>
    </row>
    <row r="26" spans="1:43" s="3" customFormat="1" ht="12">
      <c r="A26" s="96" t="s">
        <v>19</v>
      </c>
      <c r="B26" s="97"/>
      <c r="C26" s="97"/>
      <c r="D26" s="97"/>
      <c r="E26" s="98"/>
      <c r="F26" s="141">
        <f>IF(I11="",0,INT(F23*I11*F25))</f>
        <v>35</v>
      </c>
      <c r="G26" s="142"/>
      <c r="AB26" s="4"/>
      <c r="AQ26" s="4"/>
    </row>
    <row r="27" spans="1:43" s="3" customFormat="1" ht="13.5" customHeight="1">
      <c r="A27" s="87" t="s">
        <v>22</v>
      </c>
      <c r="B27" s="88"/>
      <c r="C27" s="88"/>
      <c r="D27" s="88"/>
      <c r="E27" s="88"/>
      <c r="F27" s="141">
        <f>IF(I11="",0,IF(H23="",0,INT(H23*I11)))</f>
        <v>1076</v>
      </c>
      <c r="G27" s="142"/>
      <c r="H27" s="61"/>
      <c r="AB27" s="4"/>
      <c r="AQ27" s="4"/>
    </row>
    <row r="28" spans="1:43" s="3" customFormat="1" ht="12">
      <c r="A28" s="87" t="s">
        <v>23</v>
      </c>
      <c r="B28" s="88"/>
      <c r="C28" s="88"/>
      <c r="D28" s="88"/>
      <c r="E28" s="88"/>
      <c r="F28" s="148">
        <f>IF(H23="",0,IF(I11="",0,INT(H23*I11*(1-F25))))</f>
        <v>1044</v>
      </c>
      <c r="G28" s="149"/>
      <c r="AB28" s="4"/>
      <c r="AQ28" s="4"/>
    </row>
    <row r="29" spans="1:43" s="3" customFormat="1" ht="12">
      <c r="A29" s="109" t="s">
        <v>20</v>
      </c>
      <c r="B29" s="110"/>
      <c r="C29" s="110"/>
      <c r="D29" s="110"/>
      <c r="E29" s="111"/>
      <c r="F29" s="141">
        <f>(F28*D20*(1-J20)-F27*D19)/I11</f>
        <v>502.4528571428571</v>
      </c>
      <c r="G29" s="142"/>
      <c r="I29" s="62"/>
      <c r="AB29" s="4"/>
      <c r="AQ29" s="4"/>
    </row>
    <row r="30" spans="1:43" s="3" customFormat="1" ht="13.5" customHeight="1">
      <c r="A30" s="87" t="s">
        <v>21</v>
      </c>
      <c r="B30" s="88"/>
      <c r="C30" s="88"/>
      <c r="D30" s="88"/>
      <c r="E30" s="88"/>
      <c r="F30" s="134">
        <f>IF(F24=0,0,((D20*(1-J20))-(D19))/F24/(365/12))</f>
        <v>0.5804004214963119</v>
      </c>
      <c r="G30" s="135"/>
      <c r="AB30" s="4"/>
      <c r="AQ30" s="4"/>
    </row>
    <row r="31" s="3" customFormat="1" ht="12">
      <c r="AB31" s="4"/>
    </row>
    <row r="32" spans="1:48" s="3" customFormat="1" ht="15" customHeight="1">
      <c r="A32" s="7" t="s">
        <v>24</v>
      </c>
      <c r="Y32" s="9"/>
      <c r="AB32" s="4"/>
      <c r="AQ32" s="4"/>
      <c r="AS32" s="86"/>
      <c r="AT32" s="86"/>
      <c r="AU32" s="86"/>
      <c r="AV32" s="86"/>
    </row>
    <row r="33" spans="1:48" s="3" customFormat="1" ht="12">
      <c r="A33" s="105" t="s">
        <v>25</v>
      </c>
      <c r="B33" s="88"/>
      <c r="C33" s="88"/>
      <c r="D33" s="88"/>
      <c r="E33" s="113" t="s">
        <v>26</v>
      </c>
      <c r="F33" s="114"/>
      <c r="G33" s="113" t="s">
        <v>27</v>
      </c>
      <c r="H33" s="114"/>
      <c r="Y33" s="9"/>
      <c r="AB33" s="4"/>
      <c r="AQ33" s="4"/>
      <c r="AS33" s="5"/>
      <c r="AT33" s="5"/>
      <c r="AU33" s="5"/>
      <c r="AV33" s="5"/>
    </row>
    <row r="34" spans="1:48" s="3" customFormat="1" ht="12">
      <c r="A34" s="105"/>
      <c r="B34" s="88"/>
      <c r="C34" s="88"/>
      <c r="D34" s="88"/>
      <c r="E34" s="150"/>
      <c r="F34" s="116"/>
      <c r="G34" s="150"/>
      <c r="H34" s="116"/>
      <c r="Y34" s="9"/>
      <c r="AB34" s="4"/>
      <c r="AQ34" s="4"/>
      <c r="AS34" s="59"/>
      <c r="AT34" s="14"/>
      <c r="AU34" s="59"/>
      <c r="AV34" s="14"/>
    </row>
    <row r="35" spans="1:48" s="3" customFormat="1" ht="12">
      <c r="A35" s="112" t="s">
        <v>71</v>
      </c>
      <c r="B35" s="112"/>
      <c r="C35" s="112"/>
      <c r="D35" s="112"/>
      <c r="E35" s="80">
        <v>150</v>
      </c>
      <c r="F35" s="80"/>
      <c r="G35" s="106">
        <v>0.18</v>
      </c>
      <c r="H35" s="106"/>
      <c r="Y35" s="13"/>
      <c r="AB35" s="4"/>
      <c r="AQ35" s="4"/>
      <c r="AS35" s="59"/>
      <c r="AT35" s="14"/>
      <c r="AU35" s="63"/>
      <c r="AV35" s="14"/>
    </row>
    <row r="36" spans="1:48" s="3" customFormat="1" ht="12">
      <c r="A36" s="112"/>
      <c r="B36" s="112"/>
      <c r="C36" s="112"/>
      <c r="D36" s="112"/>
      <c r="E36" s="81"/>
      <c r="F36" s="82"/>
      <c r="G36" s="106"/>
      <c r="H36" s="106"/>
      <c r="Y36" s="13"/>
      <c r="AB36" s="4"/>
      <c r="AQ36" s="4"/>
      <c r="AS36" s="59"/>
      <c r="AT36" s="14"/>
      <c r="AU36" s="63"/>
      <c r="AV36" s="14"/>
    </row>
    <row r="37" spans="1:48" s="3" customFormat="1" ht="12">
      <c r="A37" s="112"/>
      <c r="B37" s="112"/>
      <c r="C37" s="112"/>
      <c r="D37" s="112"/>
      <c r="E37" s="81"/>
      <c r="F37" s="82"/>
      <c r="G37" s="106"/>
      <c r="H37" s="106"/>
      <c r="Y37" s="13"/>
      <c r="AB37" s="4"/>
      <c r="AQ37" s="4"/>
      <c r="AS37" s="59"/>
      <c r="AT37" s="14"/>
      <c r="AV37" s="14"/>
    </row>
    <row r="38" spans="28:48" s="3" customFormat="1" ht="12">
      <c r="AB38" s="4"/>
      <c r="AQ38" s="4"/>
      <c r="AS38" s="59"/>
      <c r="AT38" s="14"/>
      <c r="AU38" s="59"/>
      <c r="AV38" s="14"/>
    </row>
    <row r="39" spans="5:48" s="3" customFormat="1" ht="12">
      <c r="E39" s="131" t="s">
        <v>28</v>
      </c>
      <c r="F39" s="88"/>
      <c r="G39" s="131" t="s">
        <v>29</v>
      </c>
      <c r="H39" s="88"/>
      <c r="AB39" s="4"/>
      <c r="AQ39" s="4"/>
      <c r="AS39" s="59"/>
      <c r="AT39" s="14"/>
      <c r="AV39" s="14"/>
    </row>
    <row r="40" spans="5:48" s="3" customFormat="1" ht="12">
      <c r="E40" s="131"/>
      <c r="F40" s="88"/>
      <c r="G40" s="131"/>
      <c r="H40" s="88"/>
      <c r="AB40" s="4"/>
      <c r="AQ40" s="4"/>
      <c r="AS40" s="10"/>
      <c r="AT40" s="10"/>
      <c r="AU40" s="10"/>
      <c r="AV40" s="10"/>
    </row>
    <row r="41" spans="1:48" s="3" customFormat="1" ht="12">
      <c r="A41" s="133" t="s">
        <v>30</v>
      </c>
      <c r="B41" s="144"/>
      <c r="C41" s="144"/>
      <c r="D41" s="144"/>
      <c r="E41" s="140">
        <v>3</v>
      </c>
      <c r="F41" s="140"/>
      <c r="G41" s="140">
        <v>10400</v>
      </c>
      <c r="H41" s="140"/>
      <c r="AB41" s="4"/>
      <c r="AQ41" s="4"/>
      <c r="AS41" s="10"/>
      <c r="AT41" s="10"/>
      <c r="AU41" s="10"/>
      <c r="AV41" s="10"/>
    </row>
    <row r="42" spans="1:48" s="3" customFormat="1" ht="12">
      <c r="A42" s="133" t="s">
        <v>31</v>
      </c>
      <c r="B42" s="88"/>
      <c r="C42" s="88"/>
      <c r="D42" s="88"/>
      <c r="E42" s="133"/>
      <c r="F42" s="88"/>
      <c r="G42" s="81">
        <v>20</v>
      </c>
      <c r="H42" s="82"/>
      <c r="AB42" s="4"/>
      <c r="AQ42" s="4"/>
      <c r="AS42" s="64"/>
      <c r="AT42" s="64"/>
      <c r="AU42" s="64"/>
      <c r="AV42" s="64"/>
    </row>
    <row r="43" spans="1:48" s="3" customFormat="1" ht="12">
      <c r="A43" s="147"/>
      <c r="B43" s="147"/>
      <c r="C43" s="147"/>
      <c r="D43" s="147"/>
      <c r="K43" s="38"/>
      <c r="AB43" s="4"/>
      <c r="AQ43" s="4"/>
      <c r="AS43" s="64"/>
      <c r="AT43" s="64"/>
      <c r="AU43" s="64"/>
      <c r="AV43" s="64"/>
    </row>
    <row r="44" spans="1:48" s="3" customFormat="1" ht="12">
      <c r="A44" s="90" t="s">
        <v>32</v>
      </c>
      <c r="B44" s="91"/>
      <c r="C44" s="91"/>
      <c r="D44" s="92"/>
      <c r="E44" s="4"/>
      <c r="K44" s="38"/>
      <c r="AB44" s="4"/>
      <c r="AQ44" s="4"/>
      <c r="AS44" s="64"/>
      <c r="AT44" s="64"/>
      <c r="AU44" s="64"/>
      <c r="AV44" s="64"/>
    </row>
    <row r="45" spans="1:48" s="3" customFormat="1" ht="12">
      <c r="A45" s="145"/>
      <c r="B45" s="145"/>
      <c r="C45" s="145"/>
      <c r="D45" s="146"/>
      <c r="E45" s="143" t="s">
        <v>33</v>
      </c>
      <c r="F45" s="88"/>
      <c r="K45" s="38"/>
      <c r="AB45" s="4"/>
      <c r="AQ45" s="4"/>
      <c r="AS45" s="64"/>
      <c r="AT45" s="64"/>
      <c r="AU45" s="64"/>
      <c r="AV45" s="64"/>
    </row>
    <row r="46" spans="1:48" s="3" customFormat="1" ht="12">
      <c r="A46" s="89"/>
      <c r="B46" s="89"/>
      <c r="C46" s="89"/>
      <c r="D46" s="89"/>
      <c r="E46" s="139"/>
      <c r="F46" s="139"/>
      <c r="K46" s="49"/>
      <c r="AB46" s="4"/>
      <c r="AQ46" s="4"/>
      <c r="AS46" s="64"/>
      <c r="AT46" s="64"/>
      <c r="AU46" s="64"/>
      <c r="AV46" s="64"/>
    </row>
    <row r="47" spans="1:48" s="3" customFormat="1" ht="12">
      <c r="A47" s="89"/>
      <c r="B47" s="89"/>
      <c r="C47" s="89"/>
      <c r="D47" s="89"/>
      <c r="E47" s="139"/>
      <c r="F47" s="139"/>
      <c r="K47" s="49"/>
      <c r="AB47" s="4"/>
      <c r="AQ47" s="4"/>
      <c r="AS47" s="65"/>
      <c r="AT47" s="65"/>
      <c r="AU47" s="65"/>
      <c r="AV47" s="65"/>
    </row>
    <row r="48" spans="1:48" s="3" customFormat="1" ht="12">
      <c r="A48" s="22"/>
      <c r="B48" s="22"/>
      <c r="C48" s="22"/>
      <c r="D48" s="22"/>
      <c r="E48" s="94" t="s">
        <v>34</v>
      </c>
      <c r="F48" s="88"/>
      <c r="K48" s="49"/>
      <c r="AB48" s="4"/>
      <c r="AQ48" s="4"/>
      <c r="AS48" s="65"/>
      <c r="AT48" s="65"/>
      <c r="AU48" s="65"/>
      <c r="AV48" s="65"/>
    </row>
    <row r="49" spans="1:48" s="3" customFormat="1" ht="12">
      <c r="A49" s="89"/>
      <c r="B49" s="89"/>
      <c r="C49" s="89"/>
      <c r="D49" s="89"/>
      <c r="E49" s="139"/>
      <c r="F49" s="139"/>
      <c r="K49" s="49"/>
      <c r="AB49" s="4"/>
      <c r="AQ49" s="4"/>
      <c r="AS49" s="65"/>
      <c r="AT49" s="65"/>
      <c r="AU49" s="65"/>
      <c r="AV49" s="65"/>
    </row>
    <row r="50" spans="1:48" s="3" customFormat="1" ht="12">
      <c r="A50" s="89"/>
      <c r="B50" s="89"/>
      <c r="C50" s="89"/>
      <c r="D50" s="89"/>
      <c r="E50" s="139"/>
      <c r="F50" s="139"/>
      <c r="K50" s="49"/>
      <c r="AB50" s="4"/>
      <c r="AQ50" s="4"/>
      <c r="AS50" s="65"/>
      <c r="AT50" s="65"/>
      <c r="AU50" s="65"/>
      <c r="AV50" s="65"/>
    </row>
    <row r="51" spans="26:48" s="3" customFormat="1" ht="12">
      <c r="Z51" s="66"/>
      <c r="AA51" s="66"/>
      <c r="AB51" s="66"/>
      <c r="AC51" s="66"/>
      <c r="AD51" s="66"/>
      <c r="AE51" s="66"/>
      <c r="AQ51" s="4"/>
      <c r="AS51" s="65"/>
      <c r="AT51" s="65"/>
      <c r="AU51" s="65"/>
      <c r="AV51" s="65"/>
    </row>
    <row r="52" spans="1:48" s="3" customFormat="1" ht="12">
      <c r="A52" s="7" t="s">
        <v>35</v>
      </c>
      <c r="Z52" s="66"/>
      <c r="AA52" s="66"/>
      <c r="AB52" s="66"/>
      <c r="AC52" s="66"/>
      <c r="AD52" s="66"/>
      <c r="AE52" s="66"/>
      <c r="AQ52" s="4"/>
      <c r="AS52" s="65"/>
      <c r="AT52" s="65"/>
      <c r="AU52" s="65"/>
      <c r="AV52" s="65"/>
    </row>
    <row r="53" spans="5:48" s="3" customFormat="1" ht="12.75" customHeight="1">
      <c r="E53" s="105" t="s">
        <v>33</v>
      </c>
      <c r="F53" s="105"/>
      <c r="G53" s="105" t="s">
        <v>36</v>
      </c>
      <c r="H53" s="105" t="s">
        <v>37</v>
      </c>
      <c r="I53" s="105" t="s">
        <v>38</v>
      </c>
      <c r="S53" s="8"/>
      <c r="T53" s="8"/>
      <c r="AB53" s="4"/>
      <c r="AU53" s="67">
        <f>AS37</f>
        <v>0</v>
      </c>
      <c r="AV53" s="67">
        <f>AS39</f>
        <v>0</v>
      </c>
    </row>
    <row r="54" spans="5:48" s="3" customFormat="1" ht="12">
      <c r="E54" s="105"/>
      <c r="F54" s="105"/>
      <c r="G54" s="105"/>
      <c r="H54" s="105"/>
      <c r="I54" s="105"/>
      <c r="S54" s="8"/>
      <c r="T54" s="8"/>
      <c r="AB54" s="4"/>
      <c r="AU54" s="67"/>
      <c r="AV54" s="67"/>
    </row>
    <row r="55" spans="1:48" s="3" customFormat="1" ht="12">
      <c r="A55" s="105" t="s">
        <v>64</v>
      </c>
      <c r="B55" s="87" t="s">
        <v>39</v>
      </c>
      <c r="C55" s="151"/>
      <c r="D55" s="151"/>
      <c r="E55" s="102">
        <f>IF(D19="",0,IF(F19="",0,D19*F19*(1+H19)*F27))</f>
        <v>447616</v>
      </c>
      <c r="F55" s="84"/>
      <c r="G55" s="45">
        <f aca="true" t="shared" si="0" ref="G55:G60">IF($I$11=0,0,E55/$I$11)</f>
        <v>959.1771428571428</v>
      </c>
      <c r="H55" s="24">
        <f aca="true" t="shared" si="1" ref="H55:H60">IF($H$23="","",G55/$H$23)</f>
        <v>415.6434285714286</v>
      </c>
      <c r="I55" s="25">
        <f aca="true" t="shared" si="2" ref="I55:I60">IF($H$60="","",H55/$H$60)</f>
        <v>0.7436138627661495</v>
      </c>
      <c r="S55" s="10"/>
      <c r="T55" s="10"/>
      <c r="U55" s="26"/>
      <c r="V55" s="27"/>
      <c r="AB55" s="4"/>
      <c r="AU55" s="68" t="e">
        <f>AU53*#REF!</f>
        <v>#REF!</v>
      </c>
      <c r="AV55" s="68" t="e">
        <f>AV53*#REF!</f>
        <v>#REF!</v>
      </c>
    </row>
    <row r="56" spans="1:48" s="3" customFormat="1" ht="12">
      <c r="A56" s="105"/>
      <c r="B56" s="87" t="s">
        <v>40</v>
      </c>
      <c r="C56" s="151"/>
      <c r="D56" s="151"/>
      <c r="E56" s="102">
        <f>E7*C7+E8*C8+E9*C9+IF(E13=0,0,C10*(E10/E13))+C10*E14+IF(F28="",0,E35*G35*F28*(1+(F25/2)))+IF(F28="",0,E36*G36*F28*(1+(F25/2)))+IF(F28="",0,E37*G37*F28*(1+(F25/2)))</f>
        <v>101610.81999999999</v>
      </c>
      <c r="F56" s="84"/>
      <c r="G56" s="45">
        <f t="shared" si="0"/>
        <v>217.7374714285714</v>
      </c>
      <c r="H56" s="24">
        <f t="shared" si="1"/>
        <v>94.35290428571429</v>
      </c>
      <c r="I56" s="25">
        <f t="shared" si="2"/>
        <v>0.16880364946524679</v>
      </c>
      <c r="S56" s="10"/>
      <c r="T56" s="10"/>
      <c r="AU56" s="68" t="e">
        <f>AU53*#REF!</f>
        <v>#REF!</v>
      </c>
      <c r="AV56" s="68" t="e">
        <f>AV53*#REF!</f>
        <v>#REF!</v>
      </c>
    </row>
    <row r="57" spans="1:48" s="3" customFormat="1" ht="12">
      <c r="A57" s="105"/>
      <c r="B57" s="87" t="s">
        <v>41</v>
      </c>
      <c r="C57" s="151"/>
      <c r="D57" s="151"/>
      <c r="E57" s="102">
        <f>IF(F27="",0,G42*F27)</f>
        <v>21520</v>
      </c>
      <c r="F57" s="84"/>
      <c r="G57" s="45">
        <f t="shared" si="0"/>
        <v>46.114285714285714</v>
      </c>
      <c r="H57" s="24">
        <f t="shared" si="1"/>
        <v>19.982857142857146</v>
      </c>
      <c r="I57" s="25">
        <f t="shared" si="2"/>
        <v>0.0357506664791418</v>
      </c>
      <c r="S57" s="10"/>
      <c r="T57" s="10"/>
      <c r="U57" s="4"/>
      <c r="V57" s="4"/>
      <c r="AU57" s="68" t="e">
        <f>AU53*#REF!</f>
        <v>#REF!</v>
      </c>
      <c r="AV57" s="68" t="e">
        <f>AV53*#REF!</f>
        <v>#REF!</v>
      </c>
    </row>
    <row r="58" spans="1:28" s="3" customFormat="1" ht="12">
      <c r="A58" s="105"/>
      <c r="B58" s="87" t="s">
        <v>30</v>
      </c>
      <c r="C58" s="151"/>
      <c r="D58" s="151"/>
      <c r="E58" s="102">
        <f>IF(E41*G41=0,0,(E41*G41))</f>
        <v>31200</v>
      </c>
      <c r="F58" s="103"/>
      <c r="G58" s="45">
        <f t="shared" si="0"/>
        <v>66.85714285714286</v>
      </c>
      <c r="H58" s="24">
        <f t="shared" si="1"/>
        <v>28.971428571428575</v>
      </c>
      <c r="I58" s="25">
        <f t="shared" si="2"/>
        <v>0.05183182128946209</v>
      </c>
      <c r="S58" s="10"/>
      <c r="T58" s="10"/>
      <c r="U58" s="15"/>
      <c r="V58" s="15"/>
      <c r="W58" s="15"/>
      <c r="X58" s="15"/>
      <c r="AB58" s="4"/>
    </row>
    <row r="59" spans="1:28" s="3" customFormat="1" ht="12">
      <c r="A59" s="105"/>
      <c r="B59" s="87" t="s">
        <v>42</v>
      </c>
      <c r="C59" s="151"/>
      <c r="D59" s="151"/>
      <c r="E59" s="102">
        <f>(E46+E47)+IF(F28="",0,(E49+E50)*F28)</f>
        <v>0</v>
      </c>
      <c r="F59" s="103"/>
      <c r="G59" s="45">
        <f t="shared" si="0"/>
        <v>0</v>
      </c>
      <c r="H59" s="24">
        <f t="shared" si="1"/>
        <v>0</v>
      </c>
      <c r="I59" s="25">
        <f t="shared" si="2"/>
        <v>0</v>
      </c>
      <c r="S59" s="10"/>
      <c r="T59" s="10"/>
      <c r="AB59" s="4"/>
    </row>
    <row r="60" spans="1:28" s="3" customFormat="1" ht="12">
      <c r="A60" s="105"/>
      <c r="B60" s="94" t="s">
        <v>8</v>
      </c>
      <c r="C60" s="94"/>
      <c r="D60" s="94"/>
      <c r="E60" s="102">
        <f>SUM(E55:E59)</f>
        <v>601946.82</v>
      </c>
      <c r="F60" s="84"/>
      <c r="G60" s="45">
        <f t="shared" si="0"/>
        <v>1289.8860428571427</v>
      </c>
      <c r="H60" s="24">
        <f t="shared" si="1"/>
        <v>558.9506185714285</v>
      </c>
      <c r="I60" s="28">
        <f t="shared" si="2"/>
        <v>1</v>
      </c>
      <c r="AB60" s="4"/>
    </row>
    <row r="61" spans="1:43" s="3" customFormat="1" ht="12">
      <c r="A61" s="161" t="s">
        <v>57</v>
      </c>
      <c r="B61" s="162"/>
      <c r="C61" s="162"/>
      <c r="D61" s="163"/>
      <c r="E61" s="107">
        <f>(F29*I11+D19*F28)*F20</f>
        <v>923491.3999999999</v>
      </c>
      <c r="F61" s="108"/>
      <c r="G61" s="30">
        <f>IF(E61=0,0,E61/$I$11)</f>
        <v>1978.9101428571425</v>
      </c>
      <c r="H61" s="31">
        <f>IF(E61=0,0,E61/$F$27)</f>
        <v>858.2633828996281</v>
      </c>
      <c r="S61" s="5"/>
      <c r="T61" s="5"/>
      <c r="W61" s="15"/>
      <c r="X61" s="15"/>
      <c r="Y61" s="15"/>
      <c r="Z61" s="15"/>
      <c r="AB61" s="4"/>
      <c r="AQ61" s="4"/>
    </row>
    <row r="62" spans="1:9" s="3" customFormat="1" ht="12">
      <c r="A62" s="161" t="s">
        <v>65</v>
      </c>
      <c r="B62" s="162"/>
      <c r="C62" s="162"/>
      <c r="D62" s="163"/>
      <c r="E62" s="107">
        <f>$H$20*E61</f>
        <v>0</v>
      </c>
      <c r="F62" s="108"/>
      <c r="G62" s="30">
        <f>IF(E62=0,0,E62/$I$11)</f>
        <v>0</v>
      </c>
      <c r="H62" s="31">
        <f>IF(E62=0,0,E62/$F$27)</f>
        <v>0</v>
      </c>
      <c r="I62" s="38"/>
    </row>
    <row r="63" spans="1:18" s="3" customFormat="1" ht="12">
      <c r="A63" s="164" t="s">
        <v>58</v>
      </c>
      <c r="B63" s="165"/>
      <c r="C63" s="165"/>
      <c r="D63" s="166"/>
      <c r="E63" s="107">
        <f>E61-E62</f>
        <v>923491.3999999999</v>
      </c>
      <c r="F63" s="108"/>
      <c r="G63" s="30">
        <f>IF(E63=0,0,E63/$I$11)</f>
        <v>1978.9101428571425</v>
      </c>
      <c r="H63" s="31">
        <f>IF(E63=0,0,E63/$F$27)</f>
        <v>858.2633828996281</v>
      </c>
      <c r="I63" s="38"/>
      <c r="O63" s="46"/>
      <c r="P63" s="46"/>
      <c r="Q63" s="46"/>
      <c r="R63" s="69"/>
    </row>
    <row r="64" spans="1:18" s="3" customFormat="1" ht="12">
      <c r="A64" s="161" t="s">
        <v>59</v>
      </c>
      <c r="B64" s="162"/>
      <c r="C64" s="162"/>
      <c r="D64" s="163"/>
      <c r="E64" s="107">
        <f>E60</f>
        <v>601946.82</v>
      </c>
      <c r="F64" s="108"/>
      <c r="G64" s="30">
        <f>IF(E64=0,0,E64/$I$11)</f>
        <v>1289.8860428571427</v>
      </c>
      <c r="H64" s="31">
        <f>IF(E64=0,0,E64/$F$27)</f>
        <v>559.4301301115241</v>
      </c>
      <c r="I64" s="38"/>
      <c r="O64" s="46"/>
      <c r="P64" s="46"/>
      <c r="Q64" s="46"/>
      <c r="R64" s="69"/>
    </row>
    <row r="65" spans="1:18" s="3" customFormat="1" ht="12">
      <c r="A65" s="161" t="s">
        <v>66</v>
      </c>
      <c r="B65" s="162"/>
      <c r="C65" s="162"/>
      <c r="D65" s="163"/>
      <c r="E65" s="107">
        <f>E63-E64</f>
        <v>321544.57999999996</v>
      </c>
      <c r="F65" s="108"/>
      <c r="G65" s="30">
        <f>IF(E65=0,0,E65/$I$11)</f>
        <v>689.0240999999999</v>
      </c>
      <c r="H65" s="31">
        <f>IF(E65=0,0,E65/$F$27)</f>
        <v>298.83325278810406</v>
      </c>
      <c r="I65" s="38"/>
      <c r="O65" s="46"/>
      <c r="P65" s="46"/>
      <c r="Q65" s="46"/>
      <c r="R65" s="69"/>
    </row>
    <row r="66" spans="1:18" s="3" customFormat="1" ht="12">
      <c r="A66" s="161" t="s">
        <v>43</v>
      </c>
      <c r="B66" s="162"/>
      <c r="C66" s="162"/>
      <c r="D66" s="163"/>
      <c r="E66" s="152">
        <f>IF(G64=0,0,G65/G64)</f>
        <v>0.5341743976652289</v>
      </c>
      <c r="F66" s="153"/>
      <c r="G66" s="39"/>
      <c r="H66" s="70"/>
      <c r="I66" s="38"/>
      <c r="O66" s="46"/>
      <c r="P66" s="46"/>
      <c r="Q66" s="46"/>
      <c r="R66" s="69"/>
    </row>
    <row r="67" spans="1:18" s="3" customFormat="1" ht="12">
      <c r="A67" s="161" t="s">
        <v>44</v>
      </c>
      <c r="B67" s="162"/>
      <c r="C67" s="162"/>
      <c r="D67" s="163"/>
      <c r="E67" s="154">
        <f>IF((F20*(1-H20))=0,0,IF(I11=0,0,((E60-F28*D19*F20*(1-H20))/(F20*(1-H20))/I11)))</f>
        <v>202.87716149068325</v>
      </c>
      <c r="F67" s="155"/>
      <c r="G67" s="40"/>
      <c r="H67" s="40"/>
      <c r="I67" s="38"/>
      <c r="O67" s="46"/>
      <c r="P67" s="46"/>
      <c r="Q67" s="46"/>
      <c r="R67" s="69"/>
    </row>
    <row r="68" spans="1:18" s="3" customFormat="1" ht="12">
      <c r="A68" s="161" t="s">
        <v>45</v>
      </c>
      <c r="B68" s="162"/>
      <c r="C68" s="162"/>
      <c r="D68" s="163"/>
      <c r="E68" s="156">
        <v>40000</v>
      </c>
      <c r="F68" s="157"/>
      <c r="G68" s="71">
        <f>IF(I11=0,0,E68/I11)</f>
        <v>85.71428571428571</v>
      </c>
      <c r="H68" s="71">
        <f>IF(F27=0,0,E68/F27)</f>
        <v>37.174721189591075</v>
      </c>
      <c r="O68" s="46"/>
      <c r="P68" s="46"/>
      <c r="Q68" s="46"/>
      <c r="R68" s="69"/>
    </row>
    <row r="69" spans="1:18" s="3" customFormat="1" ht="12">
      <c r="A69" s="164" t="s">
        <v>67</v>
      </c>
      <c r="B69" s="165"/>
      <c r="C69" s="165"/>
      <c r="D69" s="166"/>
      <c r="E69" s="107">
        <f>G69*$I$11</f>
        <v>281544.57999999996</v>
      </c>
      <c r="F69" s="158"/>
      <c r="G69" s="37">
        <f>IF(I11=0,0,G65-($E$68/$I$11))</f>
        <v>603.3098142857142</v>
      </c>
      <c r="H69" s="32">
        <f>IF(F23=0,0,E69/F27)</f>
        <v>261.658531598513</v>
      </c>
      <c r="O69" s="46"/>
      <c r="P69" s="46"/>
      <c r="Q69" s="46"/>
      <c r="R69" s="69"/>
    </row>
    <row r="70" spans="1:18" s="3" customFormat="1" ht="12">
      <c r="A70" s="161" t="s">
        <v>46</v>
      </c>
      <c r="B70" s="162"/>
      <c r="C70" s="162"/>
      <c r="D70" s="163"/>
      <c r="E70" s="159">
        <f>IF(F29=0,0,(G64-D19*H23*F20*(1-H20)+($E$68/$I$11))/(F29))</f>
        <v>1.0475998929209038</v>
      </c>
      <c r="F70" s="160"/>
      <c r="G70" s="41"/>
      <c r="H70" s="72"/>
      <c r="O70" s="46"/>
      <c r="P70" s="46"/>
      <c r="Q70" s="46"/>
      <c r="R70" s="69"/>
    </row>
    <row r="71" spans="15:18" s="3" customFormat="1" ht="12">
      <c r="O71" s="46"/>
      <c r="P71" s="46"/>
      <c r="Q71" s="46"/>
      <c r="R71" s="69"/>
    </row>
    <row r="72" spans="1:18" s="3" customFormat="1" ht="12">
      <c r="A72" s="7" t="s">
        <v>50</v>
      </c>
      <c r="O72" s="46"/>
      <c r="P72" s="46"/>
      <c r="Q72" s="46"/>
      <c r="R72" s="69"/>
    </row>
    <row r="73" spans="1:18" s="3" customFormat="1" ht="12">
      <c r="A73" s="143" t="s">
        <v>53</v>
      </c>
      <c r="B73" s="143"/>
      <c r="C73" s="143"/>
      <c r="D73" s="143"/>
      <c r="O73" s="46"/>
      <c r="P73" s="46"/>
      <c r="Q73" s="46"/>
      <c r="R73" s="69"/>
    </row>
    <row r="74" spans="1:18" s="3" customFormat="1" ht="12">
      <c r="A74" s="143" t="s">
        <v>51</v>
      </c>
      <c r="B74" s="167"/>
      <c r="C74" s="143" t="s">
        <v>52</v>
      </c>
      <c r="D74" s="169"/>
      <c r="O74" s="46"/>
      <c r="P74" s="46"/>
      <c r="Q74" s="46"/>
      <c r="R74" s="69"/>
    </row>
    <row r="75" spans="1:4" s="3" customFormat="1" ht="12">
      <c r="A75" s="95">
        <v>1.5</v>
      </c>
      <c r="B75" s="168"/>
      <c r="C75" s="170">
        <v>0.7</v>
      </c>
      <c r="D75" s="171"/>
    </row>
    <row r="76" spans="6:10" s="3" customFormat="1" ht="12">
      <c r="F76" s="172" t="s">
        <v>54</v>
      </c>
      <c r="G76" s="172"/>
      <c r="H76" s="172"/>
      <c r="I76" s="172"/>
      <c r="J76" s="172"/>
    </row>
    <row r="77" spans="1:10" s="3" customFormat="1" ht="12">
      <c r="A77" s="113" t="s">
        <v>47</v>
      </c>
      <c r="B77" s="123"/>
      <c r="C77" s="186" t="s">
        <v>61</v>
      </c>
      <c r="D77" s="174" t="s">
        <v>68</v>
      </c>
      <c r="E77" s="174"/>
      <c r="F77" s="105" t="s">
        <v>33</v>
      </c>
      <c r="G77" s="105"/>
      <c r="H77" s="105" t="s">
        <v>36</v>
      </c>
      <c r="I77" s="105" t="s">
        <v>37</v>
      </c>
      <c r="J77" s="105" t="s">
        <v>69</v>
      </c>
    </row>
    <row r="78" spans="1:10" s="3" customFormat="1" ht="12">
      <c r="A78" s="115"/>
      <c r="B78" s="126"/>
      <c r="C78" s="187"/>
      <c r="D78" s="74" t="s">
        <v>55</v>
      </c>
      <c r="E78" s="74" t="s">
        <v>48</v>
      </c>
      <c r="F78" s="105"/>
      <c r="G78" s="105"/>
      <c r="H78" s="105"/>
      <c r="I78" s="105"/>
      <c r="J78" s="105"/>
    </row>
    <row r="79" spans="1:14" s="3" customFormat="1" ht="12">
      <c r="A79" s="75">
        <f>C75</f>
        <v>0.7</v>
      </c>
      <c r="B79" s="76">
        <f>A79+$M$79</f>
        <v>0.8142857142857143</v>
      </c>
      <c r="C79" s="51">
        <v>1</v>
      </c>
      <c r="D79" s="50">
        <f aca="true" t="shared" si="3" ref="D79:D85">((A79+B79)/2)*$F$20</f>
        <v>1.7414285714285713</v>
      </c>
      <c r="E79" s="50">
        <f>$F$20</f>
        <v>2.3</v>
      </c>
      <c r="F79" s="172">
        <f aca="true" t="shared" si="4" ref="F79:F85">$E$63-N80</f>
        <v>469356.2371428571</v>
      </c>
      <c r="G79" s="173"/>
      <c r="H79" s="73">
        <f aca="true" t="shared" si="5" ref="H79:H85">F79/$I$11</f>
        <v>1005.7633653061223</v>
      </c>
      <c r="I79" s="73">
        <f aca="true" t="shared" si="6" ref="I79:I86">F79/$F$27</f>
        <v>436.20468135953263</v>
      </c>
      <c r="J79" s="52">
        <f aca="true" t="shared" si="7" ref="J79:J85">C79/SUM($C$79:$C$85)</f>
        <v>0.058823529411764705</v>
      </c>
      <c r="M79" s="77">
        <f>(A75-C75)/7</f>
        <v>0.1142857142857143</v>
      </c>
      <c r="N79" s="77"/>
    </row>
    <row r="80" spans="1:14" s="3" customFormat="1" ht="12">
      <c r="A80" s="75">
        <f aca="true" t="shared" si="8" ref="A80:A85">B79</f>
        <v>0.8142857142857143</v>
      </c>
      <c r="B80" s="76">
        <f aca="true" t="shared" si="9" ref="B80:B85">A80+$M$79</f>
        <v>0.9285714285714286</v>
      </c>
      <c r="C80" s="51">
        <v>2</v>
      </c>
      <c r="D80" s="50">
        <f t="shared" si="3"/>
        <v>2.004285714285714</v>
      </c>
      <c r="E80" s="50">
        <f aca="true" t="shared" si="10" ref="E80:E85">$F$20</f>
        <v>2.3</v>
      </c>
      <c r="F80" s="172">
        <f t="shared" si="4"/>
        <v>424102.7514285714</v>
      </c>
      <c r="G80" s="173"/>
      <c r="H80" s="73">
        <f t="shared" si="5"/>
        <v>908.7916102040815</v>
      </c>
      <c r="I80" s="73">
        <f t="shared" si="6"/>
        <v>394.1475385023898</v>
      </c>
      <c r="J80" s="52">
        <f t="shared" si="7"/>
        <v>0.11764705882352941</v>
      </c>
      <c r="M80" s="77">
        <f>IF(D19="",0,IF(D79="",0,D19*D79*(1+H19)*F27))</f>
        <v>299804.34285714285</v>
      </c>
      <c r="N80" s="78">
        <f>$E$60-$E$55+M80</f>
        <v>454135.1628571428</v>
      </c>
    </row>
    <row r="81" spans="1:14" s="3" customFormat="1" ht="12">
      <c r="A81" s="75">
        <f t="shared" si="8"/>
        <v>0.9285714285714286</v>
      </c>
      <c r="B81" s="76">
        <f t="shared" si="9"/>
        <v>1.042857142857143</v>
      </c>
      <c r="C81" s="51">
        <v>3</v>
      </c>
      <c r="D81" s="50">
        <f t="shared" si="3"/>
        <v>2.267142857142857</v>
      </c>
      <c r="E81" s="50">
        <f t="shared" si="10"/>
        <v>2.3</v>
      </c>
      <c r="F81" s="172">
        <f t="shared" si="4"/>
        <v>378849.26571428566</v>
      </c>
      <c r="G81" s="173"/>
      <c r="H81" s="73">
        <f t="shared" si="5"/>
        <v>811.8198551020407</v>
      </c>
      <c r="I81" s="73">
        <f t="shared" si="6"/>
        <v>352.0903956452469</v>
      </c>
      <c r="J81" s="52">
        <f t="shared" si="7"/>
        <v>0.17647058823529413</v>
      </c>
      <c r="M81" s="77">
        <f>IF(D19="",0,IF(D80="",0,D19*D80*(1+H19)*F27))</f>
        <v>345057.82857142854</v>
      </c>
      <c r="N81" s="78">
        <f aca="true" t="shared" si="11" ref="N81:N86">$E$60-$E$55+M81</f>
        <v>499388.6485714285</v>
      </c>
    </row>
    <row r="82" spans="1:14" s="3" customFormat="1" ht="12">
      <c r="A82" s="75">
        <f t="shared" si="8"/>
        <v>1.042857142857143</v>
      </c>
      <c r="B82" s="76">
        <f t="shared" si="9"/>
        <v>1.1571428571428573</v>
      </c>
      <c r="C82" s="51">
        <v>5</v>
      </c>
      <c r="D82" s="50">
        <f t="shared" si="3"/>
        <v>2.53</v>
      </c>
      <c r="E82" s="50">
        <f t="shared" si="10"/>
        <v>2.3</v>
      </c>
      <c r="F82" s="172">
        <f t="shared" si="4"/>
        <v>333595.78</v>
      </c>
      <c r="G82" s="173"/>
      <c r="H82" s="73">
        <f t="shared" si="5"/>
        <v>714.8481</v>
      </c>
      <c r="I82" s="73">
        <f t="shared" si="6"/>
        <v>310.0332527881041</v>
      </c>
      <c r="J82" s="52">
        <f t="shared" si="7"/>
        <v>0.29411764705882354</v>
      </c>
      <c r="M82" s="77">
        <f>IF(D19="",0,IF(D81="",0,D19*D81*(1+H19)*F27))</f>
        <v>390311.3142857143</v>
      </c>
      <c r="N82" s="78">
        <f t="shared" si="11"/>
        <v>544642.1342857142</v>
      </c>
    </row>
    <row r="83" spans="1:14" s="3" customFormat="1" ht="12">
      <c r="A83" s="75">
        <f t="shared" si="8"/>
        <v>1.1571428571428573</v>
      </c>
      <c r="B83" s="76">
        <f t="shared" si="9"/>
        <v>1.2714285714285716</v>
      </c>
      <c r="C83" s="51">
        <v>3</v>
      </c>
      <c r="D83" s="50">
        <f t="shared" si="3"/>
        <v>2.792857142857143</v>
      </c>
      <c r="E83" s="50">
        <f t="shared" si="10"/>
        <v>2.3</v>
      </c>
      <c r="F83" s="172">
        <f t="shared" si="4"/>
        <v>288342.29428571416</v>
      </c>
      <c r="G83" s="173"/>
      <c r="H83" s="73">
        <f t="shared" si="5"/>
        <v>617.8763448979589</v>
      </c>
      <c r="I83" s="73">
        <f t="shared" si="6"/>
        <v>267.9761099309611</v>
      </c>
      <c r="J83" s="52">
        <f t="shared" si="7"/>
        <v>0.17647058823529413</v>
      </c>
      <c r="M83" s="77">
        <f>IF(D19="",0,IF(D82="",0,D19*D82*(1+H19)*F27))</f>
        <v>435564.79999999993</v>
      </c>
      <c r="N83" s="78">
        <f t="shared" si="11"/>
        <v>589895.6199999999</v>
      </c>
    </row>
    <row r="84" spans="1:14" s="3" customFormat="1" ht="12">
      <c r="A84" s="75">
        <f t="shared" si="8"/>
        <v>1.2714285714285716</v>
      </c>
      <c r="B84" s="76">
        <f t="shared" si="9"/>
        <v>1.385714285714286</v>
      </c>
      <c r="C84" s="51">
        <v>2</v>
      </c>
      <c r="D84" s="50">
        <f t="shared" si="3"/>
        <v>3.055714285714286</v>
      </c>
      <c r="E84" s="50">
        <f t="shared" si="10"/>
        <v>2.3</v>
      </c>
      <c r="F84" s="172">
        <f t="shared" si="4"/>
        <v>243088.80857142853</v>
      </c>
      <c r="G84" s="173"/>
      <c r="H84" s="73">
        <f t="shared" si="5"/>
        <v>520.9045897959182</v>
      </c>
      <c r="I84" s="73">
        <f t="shared" si="6"/>
        <v>225.91896707381832</v>
      </c>
      <c r="J84" s="52">
        <f t="shared" si="7"/>
        <v>0.11764705882352941</v>
      </c>
      <c r="M84" s="77">
        <f>IF(D19="",0,IF(D83="",0,D19*D83*(1+H19)*F27))</f>
        <v>480818.28571428574</v>
      </c>
      <c r="N84" s="78">
        <f t="shared" si="11"/>
        <v>635149.1057142857</v>
      </c>
    </row>
    <row r="85" spans="1:33" s="3" customFormat="1" ht="12">
      <c r="A85" s="75">
        <f t="shared" si="8"/>
        <v>1.385714285714286</v>
      </c>
      <c r="B85" s="76">
        <f t="shared" si="9"/>
        <v>1.5000000000000002</v>
      </c>
      <c r="C85" s="51">
        <v>1</v>
      </c>
      <c r="D85" s="50">
        <f t="shared" si="3"/>
        <v>3.318571428571429</v>
      </c>
      <c r="E85" s="50">
        <f t="shared" si="10"/>
        <v>2.3</v>
      </c>
      <c r="F85" s="172">
        <f t="shared" si="4"/>
        <v>197835.32285714278</v>
      </c>
      <c r="G85" s="173"/>
      <c r="H85" s="73">
        <f t="shared" si="5"/>
        <v>423.93283469387734</v>
      </c>
      <c r="I85" s="73">
        <f t="shared" si="6"/>
        <v>183.86182421667544</v>
      </c>
      <c r="J85" s="52">
        <f t="shared" si="7"/>
        <v>0.058823529411764705</v>
      </c>
      <c r="M85" s="77">
        <f>IF(D19="",0,IF(D84="",0,D19*D84*(1+H19)*F27))</f>
        <v>526071.7714285714</v>
      </c>
      <c r="N85" s="78">
        <f t="shared" si="11"/>
        <v>680402.5914285714</v>
      </c>
      <c r="AB85" s="33"/>
      <c r="AC85" s="29"/>
      <c r="AD85" s="14"/>
      <c r="AE85" s="33"/>
      <c r="AF85" s="59"/>
      <c r="AG85" s="14"/>
    </row>
    <row r="86" spans="1:33" s="3" customFormat="1" ht="12">
      <c r="A86" s="94" t="s">
        <v>49</v>
      </c>
      <c r="B86" s="94"/>
      <c r="C86" s="94"/>
      <c r="D86" s="94"/>
      <c r="E86" s="94"/>
      <c r="F86" s="172">
        <f>F79*J79+F80*J80+F81*J81+F82*J82+F83*J83+F84*J84+F85*J85</f>
        <v>333595.77999999997</v>
      </c>
      <c r="G86" s="173"/>
      <c r="H86" s="73">
        <f>F86/I11</f>
        <v>714.8480999999999</v>
      </c>
      <c r="I86" s="73">
        <f t="shared" si="6"/>
        <v>310.03325278810405</v>
      </c>
      <c r="J86" s="79">
        <f>SUM(J79:J85)</f>
        <v>1</v>
      </c>
      <c r="M86" s="47">
        <f>IF(D19="",0,IF(D85="",0,D19*D85*(1+H19)*F27))</f>
        <v>571325.2571428572</v>
      </c>
      <c r="N86" s="78">
        <f t="shared" si="11"/>
        <v>725656.0771428571</v>
      </c>
      <c r="AB86" s="33"/>
      <c r="AC86" s="29"/>
      <c r="AD86" s="14"/>
      <c r="AE86" s="33"/>
      <c r="AF86" s="59"/>
      <c r="AG86" s="14"/>
    </row>
    <row r="88" spans="1:28" ht="12.75">
      <c r="A88" s="177" t="s">
        <v>60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AB88" s="1"/>
    </row>
    <row r="89" spans="1:28" ht="12.75">
      <c r="A89" s="180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2"/>
      <c r="AB89" s="1"/>
    </row>
    <row r="90" spans="1:28" ht="12.75">
      <c r="A90" s="183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5"/>
      <c r="AB90" s="1"/>
    </row>
    <row r="93" spans="21:24" ht="15.75">
      <c r="U93" s="34"/>
      <c r="V93" s="85"/>
      <c r="W93" s="85"/>
      <c r="X93" s="6"/>
    </row>
    <row r="94" spans="21:24" ht="12.75">
      <c r="U94" s="6"/>
      <c r="X94" s="17"/>
    </row>
    <row r="95" spans="22:24" ht="12.75">
      <c r="V95" s="17"/>
      <c r="W95" s="17"/>
      <c r="X95" s="6"/>
    </row>
    <row r="96" spans="22:24" ht="12.75">
      <c r="V96" s="11"/>
      <c r="W96" s="35"/>
      <c r="X96" s="18"/>
    </row>
    <row r="97" spans="23:24" ht="12.75">
      <c r="W97" s="35"/>
      <c r="X97" s="18"/>
    </row>
    <row r="98" spans="22:24" ht="12.75">
      <c r="V98" s="11"/>
      <c r="W98" s="35"/>
      <c r="X98" s="18"/>
    </row>
    <row r="99" spans="17:24" ht="12.75">
      <c r="Q99" s="12"/>
      <c r="R99" s="10"/>
      <c r="V99" s="11"/>
      <c r="W99" s="11"/>
      <c r="X99" s="18"/>
    </row>
    <row r="100" spans="17:24" ht="13.5" customHeight="1">
      <c r="Q100" s="10"/>
      <c r="R100" s="10"/>
      <c r="V100" s="11"/>
      <c r="W100" s="35"/>
      <c r="X100" s="18"/>
    </row>
    <row r="101" spans="22:24" ht="12.75">
      <c r="V101" s="11"/>
      <c r="W101" s="11"/>
      <c r="X101" s="11"/>
    </row>
    <row r="103" spans="22:24" ht="12.75">
      <c r="V103" s="11"/>
      <c r="W103" s="11"/>
      <c r="X103" s="11"/>
    </row>
    <row r="104" spans="22:24" ht="12.75">
      <c r="V104" s="19"/>
      <c r="W104" s="19"/>
      <c r="X104" s="19"/>
    </row>
    <row r="105" spans="22:24" ht="12.75">
      <c r="V105" s="19"/>
      <c r="W105" s="19"/>
      <c r="X105" s="19"/>
    </row>
    <row r="106" spans="22:24" ht="12.75">
      <c r="V106" s="20"/>
      <c r="W106" s="20"/>
      <c r="X106" s="20"/>
    </row>
    <row r="107" spans="22:24" ht="12.75">
      <c r="V107" s="36"/>
      <c r="W107" s="21"/>
      <c r="X107" s="21"/>
    </row>
    <row r="108" spans="21:24" ht="12.75">
      <c r="U108" s="23"/>
      <c r="V108" s="23"/>
      <c r="W108" s="23"/>
      <c r="X108" s="18"/>
    </row>
    <row r="109" spans="21:24" ht="12.75">
      <c r="U109" s="23"/>
      <c r="V109" s="23"/>
      <c r="W109" s="23"/>
      <c r="X109" s="18"/>
    </row>
  </sheetData>
  <sheetProtection password="C6E8" sheet="1" objects="1" scenarios="1"/>
  <mergeCells count="175">
    <mergeCell ref="D2:M2"/>
    <mergeCell ref="A1:M1"/>
    <mergeCell ref="A88:N90"/>
    <mergeCell ref="A77:B78"/>
    <mergeCell ref="B55:D55"/>
    <mergeCell ref="B56:D56"/>
    <mergeCell ref="C77:C78"/>
    <mergeCell ref="B57:D57"/>
    <mergeCell ref="B58:D58"/>
    <mergeCell ref="A55:A60"/>
    <mergeCell ref="B60:D60"/>
    <mergeCell ref="F86:G86"/>
    <mergeCell ref="F76:J76"/>
    <mergeCell ref="F77:G78"/>
    <mergeCell ref="H77:H78"/>
    <mergeCell ref="I77:I78"/>
    <mergeCell ref="J77:J78"/>
    <mergeCell ref="F82:G82"/>
    <mergeCell ref="D77:E77"/>
    <mergeCell ref="F83:G83"/>
    <mergeCell ref="F84:G84"/>
    <mergeCell ref="F85:G85"/>
    <mergeCell ref="F79:G79"/>
    <mergeCell ref="F80:G80"/>
    <mergeCell ref="F81:G81"/>
    <mergeCell ref="A75:B75"/>
    <mergeCell ref="C74:D74"/>
    <mergeCell ref="C75:D75"/>
    <mergeCell ref="A73:D73"/>
    <mergeCell ref="A68:D68"/>
    <mergeCell ref="A69:D69"/>
    <mergeCell ref="A70:D70"/>
    <mergeCell ref="A74:B74"/>
    <mergeCell ref="E68:F68"/>
    <mergeCell ref="E69:F69"/>
    <mergeCell ref="E70:F70"/>
    <mergeCell ref="A61:D61"/>
    <mergeCell ref="A62:D62"/>
    <mergeCell ref="A63:D63"/>
    <mergeCell ref="A64:D64"/>
    <mergeCell ref="A65:D65"/>
    <mergeCell ref="A66:D66"/>
    <mergeCell ref="A67:D67"/>
    <mergeCell ref="E64:F64"/>
    <mergeCell ref="E65:F65"/>
    <mergeCell ref="E66:F66"/>
    <mergeCell ref="E67:F67"/>
    <mergeCell ref="E61:F61"/>
    <mergeCell ref="E62:F62"/>
    <mergeCell ref="C7:D7"/>
    <mergeCell ref="G36:H36"/>
    <mergeCell ref="G39:H40"/>
    <mergeCell ref="G41:H41"/>
    <mergeCell ref="E33:F34"/>
    <mergeCell ref="A30:E30"/>
    <mergeCell ref="A27:E27"/>
    <mergeCell ref="B59:D59"/>
    <mergeCell ref="A47:D47"/>
    <mergeCell ref="A45:D45"/>
    <mergeCell ref="A43:D43"/>
    <mergeCell ref="F27:G27"/>
    <mergeCell ref="F28:G28"/>
    <mergeCell ref="G33:H34"/>
    <mergeCell ref="G42:H42"/>
    <mergeCell ref="F29:G29"/>
    <mergeCell ref="E46:F46"/>
    <mergeCell ref="E47:F47"/>
    <mergeCell ref="E36:F36"/>
    <mergeCell ref="E45:F45"/>
    <mergeCell ref="E49:F49"/>
    <mergeCell ref="A86:E86"/>
    <mergeCell ref="E55:F55"/>
    <mergeCell ref="E60:F60"/>
    <mergeCell ref="A37:D37"/>
    <mergeCell ref="A41:D41"/>
    <mergeCell ref="E58:F58"/>
    <mergeCell ref="A42:D42"/>
    <mergeCell ref="A2:C2"/>
    <mergeCell ref="E5:F6"/>
    <mergeCell ref="E50:F50"/>
    <mergeCell ref="E48:F48"/>
    <mergeCell ref="E39:F40"/>
    <mergeCell ref="E41:F41"/>
    <mergeCell ref="A36:D36"/>
    <mergeCell ref="F26:G26"/>
    <mergeCell ref="F24:G24"/>
    <mergeCell ref="A13:D13"/>
    <mergeCell ref="K5:L6"/>
    <mergeCell ref="H53:H54"/>
    <mergeCell ref="I53:I54"/>
    <mergeCell ref="E53:F54"/>
    <mergeCell ref="G53:G54"/>
    <mergeCell ref="I5:J6"/>
    <mergeCell ref="E42:F42"/>
    <mergeCell ref="F30:G30"/>
    <mergeCell ref="F23:G23"/>
    <mergeCell ref="F25:G25"/>
    <mergeCell ref="J20:K20"/>
    <mergeCell ref="D21:K21"/>
    <mergeCell ref="H20:I20"/>
    <mergeCell ref="D20:E20"/>
    <mergeCell ref="N17:P17"/>
    <mergeCell ref="A19:C19"/>
    <mergeCell ref="J17:K19"/>
    <mergeCell ref="D19:E19"/>
    <mergeCell ref="D17:E18"/>
    <mergeCell ref="F17:G18"/>
    <mergeCell ref="A20:C20"/>
    <mergeCell ref="H17:I18"/>
    <mergeCell ref="H19:I19"/>
    <mergeCell ref="A16:C16"/>
    <mergeCell ref="I8:J8"/>
    <mergeCell ref="G10:H10"/>
    <mergeCell ref="A9:B9"/>
    <mergeCell ref="A10:B10"/>
    <mergeCell ref="E8:F8"/>
    <mergeCell ref="C9:D9"/>
    <mergeCell ref="E10:F10"/>
    <mergeCell ref="I9:J9"/>
    <mergeCell ref="I10:J10"/>
    <mergeCell ref="C10:D10"/>
    <mergeCell ref="A35:D35"/>
    <mergeCell ref="C5:D6"/>
    <mergeCell ref="A8:B8"/>
    <mergeCell ref="E7:F7"/>
    <mergeCell ref="E9:F9"/>
    <mergeCell ref="A7:B7"/>
    <mergeCell ref="C8:D8"/>
    <mergeCell ref="A21:C21"/>
    <mergeCell ref="F19:G19"/>
    <mergeCell ref="F20:G20"/>
    <mergeCell ref="E56:F56"/>
    <mergeCell ref="V93:W93"/>
    <mergeCell ref="AS32:AT32"/>
    <mergeCell ref="AU32:AV32"/>
    <mergeCell ref="E35:F35"/>
    <mergeCell ref="E37:F37"/>
    <mergeCell ref="G35:H35"/>
    <mergeCell ref="G37:H37"/>
    <mergeCell ref="E63:F63"/>
    <mergeCell ref="E57:F57"/>
    <mergeCell ref="E59:F59"/>
    <mergeCell ref="AD5:AD6"/>
    <mergeCell ref="AA13:AA14"/>
    <mergeCell ref="Y13:Y14"/>
    <mergeCell ref="G5:H6"/>
    <mergeCell ref="G7:H7"/>
    <mergeCell ref="G8:H8"/>
    <mergeCell ref="G9:H9"/>
    <mergeCell ref="I7:J7"/>
    <mergeCell ref="K7:L7"/>
    <mergeCell ref="K8:L8"/>
    <mergeCell ref="G11:H11"/>
    <mergeCell ref="C11:D11"/>
    <mergeCell ref="A49:D49"/>
    <mergeCell ref="K9:L9"/>
    <mergeCell ref="K10:L10"/>
    <mergeCell ref="K11:L11"/>
    <mergeCell ref="A24:E24"/>
    <mergeCell ref="A22:E22"/>
    <mergeCell ref="I11:J11"/>
    <mergeCell ref="E11:F11"/>
    <mergeCell ref="A14:D14"/>
    <mergeCell ref="E13:F13"/>
    <mergeCell ref="E14:F14"/>
    <mergeCell ref="A11:B11"/>
    <mergeCell ref="A50:D50"/>
    <mergeCell ref="A46:D46"/>
    <mergeCell ref="A44:D44"/>
    <mergeCell ref="A26:E26"/>
    <mergeCell ref="A23:E23"/>
    <mergeCell ref="A25:E25"/>
    <mergeCell ref="A28:E28"/>
    <mergeCell ref="A29:E29"/>
    <mergeCell ref="A33:D34"/>
  </mergeCells>
  <printOptions verticalCentered="1"/>
  <pageMargins left="1.1811023622047245" right="0.75" top="0.5905511811023623" bottom="0.196850393700787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Fac. Agronomía y Veterinaria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sopa</dc:creator>
  <cp:keywords/>
  <dc:description/>
  <cp:lastModifiedBy>GUILLERMO</cp:lastModifiedBy>
  <cp:lastPrinted>2005-11-21T13:52:30Z</cp:lastPrinted>
  <dcterms:created xsi:type="dcterms:W3CDTF">2005-11-19T17:54:23Z</dcterms:created>
  <dcterms:modified xsi:type="dcterms:W3CDTF">2005-12-27T22:10:06Z</dcterms:modified>
  <cp:category/>
  <cp:version/>
  <cp:contentType/>
  <cp:contentStatus/>
</cp:coreProperties>
</file>